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C740" lockStructure="1"/>
  <bookViews>
    <workbookView xWindow="-15" yWindow="-15" windowWidth="19170" windowHeight="5925"/>
  </bookViews>
  <sheets>
    <sheet name="Start" sheetId="6" r:id="rId1"/>
    <sheet name="Hinweise" sheetId="4" r:id="rId2"/>
    <sheet name="Substrat" sheetId="2" r:id="rId3"/>
    <sheet name="Kalkulation" sheetId="5" r:id="rId4"/>
    <sheet name="Ausgangswerte" sheetId="22" state="hidden" r:id="rId5"/>
  </sheets>
  <externalReferences>
    <externalReference r:id="rId6"/>
  </externalReferences>
  <definedNames>
    <definedName name="_xlnm.Print_Area" localSheetId="1">Hinweise!$A$1:$L$27</definedName>
    <definedName name="_xlnm.Print_Area" localSheetId="3">Kalkulation!$B$1:$H$126</definedName>
    <definedName name="_xlnm.Print_Area" localSheetId="0">Start!$B$1:$K$29</definedName>
    <definedName name="_xlnm.Print_Area" localSheetId="2">Substrat!$C$1:$BI$86</definedName>
    <definedName name="Jahr">[1]Pulldowns!$B$4:$B$5</definedName>
    <definedName name="Klasse">[1]Richtwerte_Milch!$I$6:$L$6</definedName>
    <definedName name="mmm">#REF!</definedName>
    <definedName name="Nachzucht">[1]Pulldowns!$F$4:$F$4</definedName>
    <definedName name="Standort">[1]Pulldowns!$D$4:$D$5</definedName>
  </definedNames>
  <calcPr calcId="145621"/>
</workbook>
</file>

<file path=xl/calcChain.xml><?xml version="1.0" encoding="utf-8"?>
<calcChain xmlns="http://schemas.openxmlformats.org/spreadsheetml/2006/main">
  <c r="C1" i="4" l="1"/>
  <c r="C2" i="2"/>
  <c r="F52" i="5" l="1"/>
  <c r="AT31" i="2" l="1"/>
  <c r="E43" i="5" l="1"/>
  <c r="D376" i="22"/>
  <c r="D379" i="22"/>
  <c r="D375" i="22"/>
  <c r="D378" i="22"/>
  <c r="D381" i="22"/>
  <c r="AP30" i="2"/>
  <c r="AU30" i="2"/>
  <c r="AP31" i="2"/>
  <c r="AU31" i="2"/>
  <c r="AP32" i="2"/>
  <c r="AU32" i="2" s="1"/>
  <c r="BE32" i="2" s="1"/>
  <c r="AP33" i="2"/>
  <c r="AU33" i="2"/>
  <c r="AP34" i="2"/>
  <c r="AU34" i="2"/>
  <c r="AP35" i="2"/>
  <c r="AU35" i="2"/>
  <c r="AP36" i="2"/>
  <c r="AU36" i="2"/>
  <c r="AP37" i="2"/>
  <c r="AU37" i="2"/>
  <c r="AP38" i="2"/>
  <c r="AU38" i="2"/>
  <c r="AP39" i="2"/>
  <c r="AU39" i="2"/>
  <c r="AU42" i="2"/>
  <c r="AP59" i="2"/>
  <c r="AU59" i="2"/>
  <c r="AP60" i="2"/>
  <c r="AU60" i="2"/>
  <c r="AP62" i="2"/>
  <c r="AU62" i="2"/>
  <c r="AP63" i="2"/>
  <c r="AU63" i="2"/>
  <c r="AP64" i="2"/>
  <c r="AU64" i="2"/>
  <c r="F329" i="22"/>
  <c r="F328" i="22"/>
  <c r="F327" i="22"/>
  <c r="F326" i="22"/>
  <c r="F325" i="22"/>
  <c r="F324" i="22"/>
  <c r="F323" i="22"/>
  <c r="F318" i="22"/>
  <c r="F317" i="22"/>
  <c r="G57" i="22"/>
  <c r="G60" i="22"/>
  <c r="G63" i="22"/>
  <c r="G66" i="22"/>
  <c r="G77" i="22"/>
  <c r="H77" i="22"/>
  <c r="J77" i="22"/>
  <c r="G69" i="22"/>
  <c r="G7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E31" i="22"/>
  <c r="M31" i="22"/>
  <c r="D31" i="22"/>
  <c r="E32" i="22"/>
  <c r="D32" i="22"/>
  <c r="M32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12" i="22"/>
  <c r="F31" i="22"/>
  <c r="G31" i="22"/>
  <c r="H31" i="22"/>
  <c r="I31" i="22"/>
  <c r="J31" i="22"/>
  <c r="K31" i="22"/>
  <c r="L31" i="22"/>
  <c r="F32" i="22"/>
  <c r="G32" i="22"/>
  <c r="H32" i="22"/>
  <c r="I32" i="22"/>
  <c r="J32" i="22"/>
  <c r="K32" i="22"/>
  <c r="L32" i="22"/>
  <c r="Q23" i="22"/>
  <c r="Q29" i="22"/>
  <c r="Q25" i="22"/>
  <c r="Q28" i="22"/>
  <c r="P22" i="22"/>
  <c r="P24" i="22"/>
  <c r="P29" i="22"/>
  <c r="P27" i="22"/>
  <c r="Q20" i="22"/>
  <c r="P19" i="22"/>
  <c r="S37" i="22"/>
  <c r="R21" i="22"/>
  <c r="R26" i="22"/>
  <c r="S29" i="22"/>
  <c r="S35" i="22"/>
  <c r="S36" i="22"/>
  <c r="E49" i="5"/>
  <c r="E101" i="5"/>
  <c r="G49" i="5"/>
  <c r="G105" i="5"/>
  <c r="F49" i="5"/>
  <c r="F101" i="5"/>
  <c r="F106" i="5"/>
  <c r="G106" i="5"/>
  <c r="E106" i="5"/>
  <c r="E105" i="5"/>
  <c r="F102" i="5"/>
  <c r="G102" i="5"/>
  <c r="E102" i="5"/>
  <c r="C28" i="5"/>
  <c r="E17" i="5"/>
  <c r="F17" i="5"/>
  <c r="G17" i="5"/>
  <c r="S82" i="2"/>
  <c r="AM82" i="2"/>
  <c r="T96" i="2"/>
  <c r="S83" i="2"/>
  <c r="AM83" i="2"/>
  <c r="S84" i="2"/>
  <c r="AM84" i="2"/>
  <c r="S85" i="2"/>
  <c r="AM85" i="2"/>
  <c r="AP82" i="2"/>
  <c r="BI82" i="2"/>
  <c r="AP83" i="2"/>
  <c r="BI83" i="2"/>
  <c r="AP84" i="2"/>
  <c r="BI84" i="2"/>
  <c r="AP85" i="2"/>
  <c r="BI85" i="2"/>
  <c r="S70" i="2"/>
  <c r="AM70" i="2"/>
  <c r="S71" i="2"/>
  <c r="AM71" i="2"/>
  <c r="S72" i="2"/>
  <c r="AM72" i="2"/>
  <c r="S73" i="2"/>
  <c r="AM73" i="2"/>
  <c r="S74" i="2"/>
  <c r="AM74" i="2"/>
  <c r="S75" i="2"/>
  <c r="AM75" i="2"/>
  <c r="S76" i="2"/>
  <c r="AM76" i="2"/>
  <c r="S77" i="2"/>
  <c r="AM77" i="2"/>
  <c r="S78" i="2"/>
  <c r="AM78" i="2"/>
  <c r="S79" i="2"/>
  <c r="AM79" i="2"/>
  <c r="S80" i="2"/>
  <c r="AM80" i="2"/>
  <c r="S81" i="2"/>
  <c r="AM81" i="2"/>
  <c r="AP14" i="2"/>
  <c r="BI14" i="2" s="1"/>
  <c r="AP15" i="2"/>
  <c r="BI15" i="2" s="1"/>
  <c r="AP16" i="2"/>
  <c r="AU16" i="2" s="1"/>
  <c r="AP17" i="2"/>
  <c r="AU17" i="2" s="1"/>
  <c r="AP18" i="2"/>
  <c r="AU18" i="2"/>
  <c r="AP19" i="2"/>
  <c r="AU19" i="2" s="1"/>
  <c r="AP20" i="2"/>
  <c r="AU20" i="2" s="1"/>
  <c r="AP21" i="2"/>
  <c r="AU21" i="2" s="1"/>
  <c r="BI21" i="2"/>
  <c r="AP22" i="2"/>
  <c r="AU22" i="2" s="1"/>
  <c r="AP23" i="2"/>
  <c r="BI23" i="2" s="1"/>
  <c r="AP24" i="2"/>
  <c r="AU24" i="2" s="1"/>
  <c r="AP25" i="2"/>
  <c r="AU25" i="2" s="1"/>
  <c r="AP26" i="2"/>
  <c r="AU26" i="2"/>
  <c r="AP27" i="2"/>
  <c r="AU27" i="2" s="1"/>
  <c r="AP28" i="2"/>
  <c r="AU28" i="2" s="1"/>
  <c r="AP29" i="2"/>
  <c r="AU29" i="2" s="1"/>
  <c r="BI29" i="2"/>
  <c r="BI30" i="2"/>
  <c r="BI31" i="2"/>
  <c r="BI33" i="2"/>
  <c r="BI34" i="2"/>
  <c r="BI35" i="2"/>
  <c r="BI36" i="2"/>
  <c r="BI37" i="2"/>
  <c r="BI38" i="2"/>
  <c r="BI39" i="2"/>
  <c r="S41" i="2"/>
  <c r="AM41" i="2"/>
  <c r="S43" i="2"/>
  <c r="AM43" i="2"/>
  <c r="S44" i="2"/>
  <c r="AM44" i="2"/>
  <c r="S45" i="2"/>
  <c r="AM45" i="2"/>
  <c r="S46" i="2"/>
  <c r="AM46" i="2"/>
  <c r="S47" i="2"/>
  <c r="AM47" i="2"/>
  <c r="S48" i="2"/>
  <c r="AM48" i="2"/>
  <c r="S49" i="2"/>
  <c r="AM49" i="2"/>
  <c r="S50" i="2"/>
  <c r="AM50" i="2"/>
  <c r="S51" i="2"/>
  <c r="AM51" i="2"/>
  <c r="S52" i="2"/>
  <c r="AM52" i="2"/>
  <c r="S53" i="2"/>
  <c r="AM53" i="2"/>
  <c r="S54" i="2"/>
  <c r="AM54" i="2"/>
  <c r="S55" i="2"/>
  <c r="AM55" i="2"/>
  <c r="S56" i="2"/>
  <c r="AM56" i="2"/>
  <c r="S57" i="2"/>
  <c r="AM57" i="2"/>
  <c r="S58" i="2"/>
  <c r="AM58" i="2"/>
  <c r="S59" i="2"/>
  <c r="AM59" i="2"/>
  <c r="S60" i="2"/>
  <c r="S61" i="2"/>
  <c r="AM61" i="2"/>
  <c r="S62" i="2"/>
  <c r="AM62" i="2"/>
  <c r="S63" i="2"/>
  <c r="AM63" i="2"/>
  <c r="S64" i="2"/>
  <c r="AM64" i="2"/>
  <c r="S65" i="2"/>
  <c r="AM65" i="2"/>
  <c r="S66" i="2"/>
  <c r="AM66" i="2"/>
  <c r="S67" i="2"/>
  <c r="AM67" i="2"/>
  <c r="S68" i="2"/>
  <c r="AM68" i="2"/>
  <c r="AP41" i="2"/>
  <c r="BI41" i="2" s="1"/>
  <c r="AP43" i="2"/>
  <c r="AU43" i="2" s="1"/>
  <c r="AP44" i="2"/>
  <c r="BI44" i="2" s="1"/>
  <c r="AP45" i="2"/>
  <c r="AU45" i="2" s="1"/>
  <c r="AP46" i="2"/>
  <c r="BI46" i="2" s="1"/>
  <c r="AP47" i="2"/>
  <c r="AU47" i="2" s="1"/>
  <c r="AP48" i="2"/>
  <c r="BI48" i="2" s="1"/>
  <c r="AP49" i="2"/>
  <c r="AU49" i="2" s="1"/>
  <c r="AP50" i="2"/>
  <c r="AU50" i="2" s="1"/>
  <c r="AP51" i="2"/>
  <c r="AU51" i="2" s="1"/>
  <c r="AP52" i="2"/>
  <c r="BI52" i="2" s="1"/>
  <c r="AP53" i="2"/>
  <c r="AU53" i="2" s="1"/>
  <c r="AP54" i="2"/>
  <c r="BI54" i="2" s="1"/>
  <c r="AP55" i="2"/>
  <c r="AU55" i="2" s="1"/>
  <c r="AP56" i="2"/>
  <c r="AU56" i="2" s="1"/>
  <c r="BI56" i="2"/>
  <c r="AP57" i="2"/>
  <c r="AU57" i="2" s="1"/>
  <c r="AP58" i="2"/>
  <c r="AU58" i="2" s="1"/>
  <c r="BI59" i="2"/>
  <c r="BI60" i="2"/>
  <c r="AP61" i="2"/>
  <c r="AU61" i="2"/>
  <c r="BI61" i="2"/>
  <c r="BI62" i="2"/>
  <c r="BI63" i="2"/>
  <c r="BI64" i="2"/>
  <c r="AP65" i="2"/>
  <c r="BI65" i="2"/>
  <c r="AP66" i="2"/>
  <c r="BI66" i="2"/>
  <c r="AP67" i="2"/>
  <c r="BI67" i="2"/>
  <c r="AP68" i="2"/>
  <c r="BI68" i="2"/>
  <c r="AP70" i="2"/>
  <c r="BI70" i="2"/>
  <c r="AP71" i="2"/>
  <c r="BI71" i="2"/>
  <c r="AP72" i="2"/>
  <c r="BI72" i="2"/>
  <c r="AP73" i="2"/>
  <c r="BI73" i="2"/>
  <c r="AP74" i="2"/>
  <c r="BI74" i="2"/>
  <c r="AP75" i="2"/>
  <c r="BI75" i="2" s="1"/>
  <c r="AQ95" i="2" s="1"/>
  <c r="G7" i="5" s="1"/>
  <c r="AP76" i="2"/>
  <c r="BI76" i="2"/>
  <c r="AP77" i="2"/>
  <c r="BI77" i="2"/>
  <c r="AP78" i="2"/>
  <c r="BI78" i="2"/>
  <c r="AP79" i="2"/>
  <c r="BI79" i="2"/>
  <c r="AP80" i="2"/>
  <c r="BI80" i="2"/>
  <c r="S14" i="2"/>
  <c r="AM14" i="2" s="1"/>
  <c r="S15" i="2"/>
  <c r="S16" i="2"/>
  <c r="AM16" i="2" s="1"/>
  <c r="S17" i="2"/>
  <c r="S18" i="2"/>
  <c r="AM18" i="2" s="1"/>
  <c r="S19" i="2"/>
  <c r="AM19" i="2" s="1"/>
  <c r="S20" i="2"/>
  <c r="AM20" i="2" s="1"/>
  <c r="S21" i="2"/>
  <c r="S22" i="2"/>
  <c r="AM22" i="2" s="1"/>
  <c r="S23" i="2"/>
  <c r="AM23" i="2"/>
  <c r="S24" i="2"/>
  <c r="AM24" i="2" s="1"/>
  <c r="S25" i="2"/>
  <c r="S26" i="2"/>
  <c r="AM26" i="2"/>
  <c r="S27" i="2"/>
  <c r="AM27" i="2" s="1"/>
  <c r="S28" i="2"/>
  <c r="S29" i="2"/>
  <c r="AM29" i="2" s="1"/>
  <c r="S30" i="2"/>
  <c r="AM30" i="2"/>
  <c r="S31" i="2"/>
  <c r="AM31" i="2"/>
  <c r="S32" i="2"/>
  <c r="AM32" i="2" s="1"/>
  <c r="S33" i="2"/>
  <c r="S34" i="2"/>
  <c r="AM34" i="2"/>
  <c r="S35" i="2"/>
  <c r="AM35" i="2"/>
  <c r="S36" i="2"/>
  <c r="S37" i="2"/>
  <c r="S38" i="2"/>
  <c r="AM38" i="2"/>
  <c r="S39" i="2"/>
  <c r="AM39" i="2"/>
  <c r="S40" i="2"/>
  <c r="S86" i="2"/>
  <c r="AM17" i="2"/>
  <c r="AM25" i="2"/>
  <c r="AM28" i="2"/>
  <c r="AM33" i="2"/>
  <c r="AM36" i="2"/>
  <c r="AM37" i="2"/>
  <c r="AM40" i="2"/>
  <c r="W41" i="2"/>
  <c r="AG41" i="2" s="1"/>
  <c r="AB41" i="2"/>
  <c r="AC41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W59" i="2"/>
  <c r="AG59" i="2"/>
  <c r="AH59" i="2"/>
  <c r="AB59" i="2"/>
  <c r="AC59" i="2"/>
  <c r="AH61" i="2"/>
  <c r="AH62" i="2"/>
  <c r="W63" i="2"/>
  <c r="AB63" i="2"/>
  <c r="AG63" i="2"/>
  <c r="AC63" i="2"/>
  <c r="AH63" i="2"/>
  <c r="AH64" i="2"/>
  <c r="AH65" i="2"/>
  <c r="AH66" i="2"/>
  <c r="AH67" i="2"/>
  <c r="AH68" i="2"/>
  <c r="AH70" i="2"/>
  <c r="AH71" i="2"/>
  <c r="AH72" i="2"/>
  <c r="AH73" i="2"/>
  <c r="AH74" i="2"/>
  <c r="W75" i="2"/>
  <c r="AB75" i="2"/>
  <c r="AG75" i="2"/>
  <c r="AH75" i="2"/>
  <c r="AC75" i="2"/>
  <c r="AH76" i="2"/>
  <c r="W77" i="2"/>
  <c r="AB77" i="2"/>
  <c r="AG77" i="2"/>
  <c r="AC77" i="2"/>
  <c r="AH77" i="2"/>
  <c r="W78" i="2"/>
  <c r="AB78" i="2"/>
  <c r="AG78" i="2"/>
  <c r="AC78" i="2"/>
  <c r="AH78" i="2"/>
  <c r="W79" i="2"/>
  <c r="AB79" i="2"/>
  <c r="AG79" i="2"/>
  <c r="AC79" i="2"/>
  <c r="AH79" i="2"/>
  <c r="AH80" i="2"/>
  <c r="AH81" i="2"/>
  <c r="AH82" i="2"/>
  <c r="AH83" i="2"/>
  <c r="AH84" i="2"/>
  <c r="AH85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61" i="2"/>
  <c r="AG62" i="2"/>
  <c r="AG64" i="2"/>
  <c r="AG65" i="2"/>
  <c r="AG66" i="2"/>
  <c r="AG67" i="2"/>
  <c r="AG68" i="2"/>
  <c r="AG70" i="2"/>
  <c r="AG71" i="2"/>
  <c r="AG72" i="2"/>
  <c r="AG73" i="2"/>
  <c r="AG74" i="2"/>
  <c r="AG76" i="2"/>
  <c r="AG80" i="2"/>
  <c r="AG81" i="2"/>
  <c r="AG82" i="2"/>
  <c r="AG83" i="2"/>
  <c r="AG84" i="2"/>
  <c r="AG85" i="2"/>
  <c r="AA41" i="2"/>
  <c r="AL41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A59" i="2"/>
  <c r="AL59" i="2"/>
  <c r="AL61" i="2"/>
  <c r="AL62" i="2"/>
  <c r="AA63" i="2"/>
  <c r="AL63" i="2"/>
  <c r="AL64" i="2"/>
  <c r="AL65" i="2"/>
  <c r="AL66" i="2"/>
  <c r="AL67" i="2"/>
  <c r="AL68" i="2"/>
  <c r="AL70" i="2"/>
  <c r="AL71" i="2"/>
  <c r="AL72" i="2"/>
  <c r="AL73" i="2"/>
  <c r="AL74" i="2"/>
  <c r="AA75" i="2"/>
  <c r="AL75" i="2"/>
  <c r="AL76" i="2"/>
  <c r="AA77" i="2"/>
  <c r="AL77" i="2"/>
  <c r="AA78" i="2"/>
  <c r="AL78" i="2"/>
  <c r="AA79" i="2"/>
  <c r="AL79" i="2"/>
  <c r="AL80" i="2"/>
  <c r="AL81" i="2"/>
  <c r="AL82" i="2"/>
  <c r="AL83" i="2"/>
  <c r="AL84" i="2"/>
  <c r="AL85" i="2"/>
  <c r="Z41" i="2"/>
  <c r="AK41" i="2" s="1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Z59" i="2"/>
  <c r="AK59" i="2"/>
  <c r="AK61" i="2"/>
  <c r="AK62" i="2"/>
  <c r="Z63" i="2"/>
  <c r="AK63" i="2"/>
  <c r="AK64" i="2"/>
  <c r="AK65" i="2"/>
  <c r="AK66" i="2"/>
  <c r="AK67" i="2"/>
  <c r="AK68" i="2"/>
  <c r="AK70" i="2"/>
  <c r="AK71" i="2"/>
  <c r="AK72" i="2"/>
  <c r="AK73" i="2"/>
  <c r="AK74" i="2"/>
  <c r="Z75" i="2"/>
  <c r="AK75" i="2"/>
  <c r="AK76" i="2"/>
  <c r="Z77" i="2"/>
  <c r="AK77" i="2"/>
  <c r="Z78" i="2"/>
  <c r="AK78" i="2"/>
  <c r="Z79" i="2"/>
  <c r="AK79" i="2"/>
  <c r="AK80" i="2"/>
  <c r="AK81" i="2"/>
  <c r="AK82" i="2"/>
  <c r="AK83" i="2"/>
  <c r="AK84" i="2"/>
  <c r="AK85" i="2"/>
  <c r="Y41" i="2"/>
  <c r="AJ41" i="2" s="1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Y59" i="2"/>
  <c r="AJ59" i="2"/>
  <c r="AJ61" i="2"/>
  <c r="AJ62" i="2"/>
  <c r="Y63" i="2"/>
  <c r="AJ63" i="2"/>
  <c r="AJ64" i="2"/>
  <c r="AJ65" i="2"/>
  <c r="AJ66" i="2"/>
  <c r="AJ67" i="2"/>
  <c r="AJ68" i="2"/>
  <c r="AJ70" i="2"/>
  <c r="AJ71" i="2"/>
  <c r="AJ72" i="2"/>
  <c r="AJ73" i="2"/>
  <c r="AJ74" i="2"/>
  <c r="Y75" i="2"/>
  <c r="AJ75" i="2"/>
  <c r="AJ76" i="2"/>
  <c r="Y77" i="2"/>
  <c r="AJ77" i="2"/>
  <c r="Y78" i="2"/>
  <c r="AJ78" i="2"/>
  <c r="Y79" i="2"/>
  <c r="AJ79" i="2"/>
  <c r="AJ80" i="2"/>
  <c r="AJ81" i="2"/>
  <c r="AJ82" i="2"/>
  <c r="AJ83" i="2"/>
  <c r="AJ84" i="2"/>
  <c r="AJ85" i="2"/>
  <c r="X41" i="2"/>
  <c r="AI41" i="2" s="1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X59" i="2"/>
  <c r="AI59" i="2"/>
  <c r="AI61" i="2"/>
  <c r="AI62" i="2"/>
  <c r="X63" i="2"/>
  <c r="AI63" i="2"/>
  <c r="AI64" i="2"/>
  <c r="AI65" i="2"/>
  <c r="AI66" i="2"/>
  <c r="AI67" i="2"/>
  <c r="AI68" i="2"/>
  <c r="AI70" i="2"/>
  <c r="AI71" i="2"/>
  <c r="AI72" i="2"/>
  <c r="AI73" i="2"/>
  <c r="AI74" i="2"/>
  <c r="H75" i="2"/>
  <c r="X75" i="2" s="1"/>
  <c r="AI75" i="2" s="1"/>
  <c r="AI76" i="2"/>
  <c r="X77" i="2"/>
  <c r="AI77" i="2"/>
  <c r="X78" i="2"/>
  <c r="AI78" i="2"/>
  <c r="X79" i="2"/>
  <c r="AI79" i="2"/>
  <c r="AI80" i="2"/>
  <c r="AI81" i="2"/>
  <c r="AI82" i="2"/>
  <c r="AI83" i="2"/>
  <c r="AI84" i="2"/>
  <c r="AI85" i="2"/>
  <c r="T91" i="2"/>
  <c r="E3" i="5" s="1"/>
  <c r="E61" i="5" s="1"/>
  <c r="AU41" i="2"/>
  <c r="BE41" i="2" s="1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70" i="2"/>
  <c r="BE71" i="2"/>
  <c r="AU72" i="2"/>
  <c r="BE72" i="2"/>
  <c r="AU73" i="2"/>
  <c r="BE73" i="2"/>
  <c r="AU74" i="2"/>
  <c r="BE74" i="2"/>
  <c r="AU75" i="2"/>
  <c r="BE75" i="2"/>
  <c r="BE76" i="2"/>
  <c r="BE77" i="2"/>
  <c r="BE78" i="2"/>
  <c r="AU79" i="2"/>
  <c r="BE79" i="2"/>
  <c r="BE80" i="2"/>
  <c r="BE82" i="2"/>
  <c r="BE83" i="2"/>
  <c r="BE84" i="2"/>
  <c r="BE85" i="2"/>
  <c r="AV41" i="2"/>
  <c r="BF41" i="2" s="1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AV59" i="2"/>
  <c r="BF59" i="2"/>
  <c r="AV60" i="2"/>
  <c r="BF60" i="2"/>
  <c r="BF61" i="2"/>
  <c r="BF62" i="2"/>
  <c r="AV63" i="2"/>
  <c r="BF63" i="2"/>
  <c r="BF64" i="2"/>
  <c r="BF65" i="2"/>
  <c r="BF66" i="2"/>
  <c r="BF67" i="2"/>
  <c r="BF68" i="2"/>
  <c r="BF70" i="2"/>
  <c r="BF71" i="2"/>
  <c r="AV72" i="2"/>
  <c r="BF72" i="2"/>
  <c r="AV73" i="2"/>
  <c r="BF73" i="2"/>
  <c r="AV74" i="2"/>
  <c r="BF74" i="2"/>
  <c r="AV75" i="2"/>
  <c r="BF75" i="2"/>
  <c r="BF76" i="2"/>
  <c r="BF77" i="2"/>
  <c r="BF78" i="2"/>
  <c r="AV79" i="2"/>
  <c r="BF79" i="2"/>
  <c r="BF80" i="2"/>
  <c r="BF82" i="2"/>
  <c r="BF83" i="2"/>
  <c r="BF84" i="2"/>
  <c r="BF85" i="2"/>
  <c r="AW41" i="2"/>
  <c r="BG41" i="2" s="1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AW59" i="2"/>
  <c r="BG59" i="2"/>
  <c r="AW60" i="2"/>
  <c r="BG60" i="2"/>
  <c r="BG61" i="2"/>
  <c r="BG62" i="2"/>
  <c r="AW63" i="2"/>
  <c r="BG63" i="2"/>
  <c r="BG64" i="2"/>
  <c r="BG65" i="2"/>
  <c r="BG66" i="2"/>
  <c r="BG67" i="2"/>
  <c r="BG68" i="2"/>
  <c r="BG70" i="2"/>
  <c r="BG71" i="2"/>
  <c r="AW72" i="2"/>
  <c r="BG72" i="2"/>
  <c r="AW73" i="2"/>
  <c r="BG73" i="2"/>
  <c r="AW74" i="2"/>
  <c r="BG74" i="2"/>
  <c r="AW75" i="2"/>
  <c r="BG75" i="2"/>
  <c r="BG76" i="2"/>
  <c r="BG77" i="2"/>
  <c r="BG78" i="2"/>
  <c r="AW79" i="2"/>
  <c r="BG79" i="2"/>
  <c r="BG80" i="2"/>
  <c r="BG82" i="2"/>
  <c r="BG83" i="2"/>
  <c r="BG84" i="2"/>
  <c r="BG85" i="2"/>
  <c r="AX41" i="2"/>
  <c r="BH41" i="2" s="1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AX59" i="2"/>
  <c r="BH59" i="2"/>
  <c r="AX60" i="2"/>
  <c r="BH60" i="2"/>
  <c r="BH61" i="2"/>
  <c r="BH62" i="2"/>
  <c r="AX63" i="2"/>
  <c r="BH63" i="2"/>
  <c r="BH64" i="2"/>
  <c r="BH65" i="2"/>
  <c r="BH66" i="2"/>
  <c r="BH67" i="2"/>
  <c r="BH68" i="2"/>
  <c r="BH70" i="2"/>
  <c r="BH71" i="2"/>
  <c r="AX72" i="2"/>
  <c r="BH72" i="2"/>
  <c r="AX73" i="2"/>
  <c r="BH73" i="2"/>
  <c r="AX74" i="2"/>
  <c r="BH74" i="2"/>
  <c r="AX75" i="2"/>
  <c r="BH75" i="2"/>
  <c r="BH76" i="2"/>
  <c r="BH77" i="2"/>
  <c r="BH78" i="2"/>
  <c r="AX79" i="2"/>
  <c r="BH79" i="2"/>
  <c r="BH80" i="2"/>
  <c r="BH82" i="2"/>
  <c r="BH83" i="2"/>
  <c r="BH84" i="2"/>
  <c r="BH85" i="2"/>
  <c r="AY41" i="2"/>
  <c r="AT41" i="2"/>
  <c r="AZ41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AY59" i="2"/>
  <c r="BC59" i="2"/>
  <c r="BD59" i="2"/>
  <c r="AT59" i="2"/>
  <c r="AZ59" i="2"/>
  <c r="AY60" i="2"/>
  <c r="AT60" i="2"/>
  <c r="BC60" i="2"/>
  <c r="AZ60" i="2"/>
  <c r="BD60" i="2"/>
  <c r="BD61" i="2"/>
  <c r="BD62" i="2"/>
  <c r="AY63" i="2"/>
  <c r="BC63" i="2"/>
  <c r="BD63" i="2"/>
  <c r="AT63" i="2"/>
  <c r="AZ63" i="2"/>
  <c r="BD64" i="2"/>
  <c r="BD65" i="2"/>
  <c r="BD66" i="2"/>
  <c r="BD67" i="2"/>
  <c r="BD68" i="2"/>
  <c r="BD70" i="2"/>
  <c r="BD71" i="2"/>
  <c r="AY72" i="2"/>
  <c r="AT72" i="2"/>
  <c r="BC72" i="2"/>
  <c r="AZ72" i="2"/>
  <c r="BD72" i="2"/>
  <c r="AY73" i="2"/>
  <c r="AT73" i="2"/>
  <c r="BC73" i="2"/>
  <c r="AZ73" i="2"/>
  <c r="BD73" i="2"/>
  <c r="AY74" i="2"/>
  <c r="AT74" i="2"/>
  <c r="BC74" i="2"/>
  <c r="AZ74" i="2"/>
  <c r="BD74" i="2"/>
  <c r="AY75" i="2"/>
  <c r="AT75" i="2"/>
  <c r="BC75" i="2"/>
  <c r="AZ75" i="2"/>
  <c r="BD75" i="2"/>
  <c r="BD76" i="2"/>
  <c r="BD77" i="2"/>
  <c r="BD78" i="2"/>
  <c r="AY79" i="2"/>
  <c r="BC79" i="2"/>
  <c r="BD79" i="2"/>
  <c r="AT79" i="2"/>
  <c r="AZ79" i="2"/>
  <c r="BD80" i="2"/>
  <c r="BC82" i="2"/>
  <c r="BD82" i="2"/>
  <c r="BD83" i="2"/>
  <c r="BD84" i="2"/>
  <c r="BD85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61" i="2"/>
  <c r="BC62" i="2"/>
  <c r="BC64" i="2"/>
  <c r="BC65" i="2"/>
  <c r="BC66" i="2"/>
  <c r="BC67" i="2"/>
  <c r="BC68" i="2"/>
  <c r="BC70" i="2"/>
  <c r="BC71" i="2"/>
  <c r="BC76" i="2"/>
  <c r="BC77" i="2"/>
  <c r="BC78" i="2"/>
  <c r="BC80" i="2"/>
  <c r="BC83" i="2"/>
  <c r="BC84" i="2"/>
  <c r="BC85" i="2"/>
  <c r="AP81" i="2"/>
  <c r="AP86" i="2"/>
  <c r="AQ91" i="2"/>
  <c r="G3" i="5"/>
  <c r="G61" i="5" s="1"/>
  <c r="AP40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70" i="2"/>
  <c r="AD71" i="2"/>
  <c r="AD72" i="2"/>
  <c r="AD73" i="2"/>
  <c r="AD74" i="2"/>
  <c r="AD75" i="2"/>
  <c r="AD76" i="2"/>
  <c r="AD77" i="2"/>
  <c r="AD78" i="2"/>
  <c r="AD79" i="2"/>
  <c r="AD80" i="2"/>
  <c r="AD82" i="2"/>
  <c r="AD83" i="2"/>
  <c r="AD84" i="2"/>
  <c r="AD85" i="2"/>
  <c r="W14" i="2"/>
  <c r="AG14" i="2" s="1"/>
  <c r="AB14" i="2"/>
  <c r="AC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W30" i="2"/>
  <c r="AB30" i="2"/>
  <c r="AG30" i="2"/>
  <c r="AC30" i="2"/>
  <c r="AH30" i="2"/>
  <c r="W31" i="2"/>
  <c r="AB31" i="2"/>
  <c r="AG31" i="2"/>
  <c r="AH31" i="2"/>
  <c r="AC31" i="2"/>
  <c r="W33" i="2"/>
  <c r="AB33" i="2"/>
  <c r="AG33" i="2"/>
  <c r="AC33" i="2"/>
  <c r="AH33" i="2"/>
  <c r="W34" i="2"/>
  <c r="AB34" i="2"/>
  <c r="AG34" i="2"/>
  <c r="AC34" i="2"/>
  <c r="AH34" i="2"/>
  <c r="W35" i="2"/>
  <c r="AB35" i="2"/>
  <c r="AG35" i="2"/>
  <c r="AC35" i="2"/>
  <c r="AH35" i="2"/>
  <c r="W36" i="2"/>
  <c r="AB36" i="2"/>
  <c r="AG36" i="2"/>
  <c r="AC36" i="2"/>
  <c r="AH36" i="2"/>
  <c r="AH37" i="2"/>
  <c r="AH38" i="2"/>
  <c r="AH39" i="2"/>
  <c r="AH40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7" i="2"/>
  <c r="AG38" i="2"/>
  <c r="AG39" i="2"/>
  <c r="AG40" i="2"/>
  <c r="X14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X30" i="2"/>
  <c r="AI30" i="2"/>
  <c r="X31" i="2"/>
  <c r="AI31" i="2"/>
  <c r="X33" i="2"/>
  <c r="AI33" i="2"/>
  <c r="X34" i="2"/>
  <c r="AI34" i="2"/>
  <c r="X35" i="2"/>
  <c r="AI35" i="2"/>
  <c r="X36" i="2"/>
  <c r="AI36" i="2"/>
  <c r="AI37" i="2"/>
  <c r="AI38" i="2"/>
  <c r="AI39" i="2"/>
  <c r="AI40" i="2"/>
  <c r="AA14" i="2"/>
  <c r="AL14" i="2" s="1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A30" i="2"/>
  <c r="AL30" i="2"/>
  <c r="AA31" i="2"/>
  <c r="AL31" i="2"/>
  <c r="AA33" i="2"/>
  <c r="AL33" i="2"/>
  <c r="AA34" i="2"/>
  <c r="AL34" i="2"/>
  <c r="AA35" i="2"/>
  <c r="AL35" i="2"/>
  <c r="AA36" i="2"/>
  <c r="AL36" i="2"/>
  <c r="AL37" i="2"/>
  <c r="AL38" i="2"/>
  <c r="AL39" i="2"/>
  <c r="AL40" i="2"/>
  <c r="Z14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Z30" i="2"/>
  <c r="AK30" i="2"/>
  <c r="Z31" i="2"/>
  <c r="AK31" i="2"/>
  <c r="Z33" i="2"/>
  <c r="AK33" i="2"/>
  <c r="Z34" i="2"/>
  <c r="AK34" i="2"/>
  <c r="Z35" i="2"/>
  <c r="AK35" i="2"/>
  <c r="Z36" i="2"/>
  <c r="AK36" i="2"/>
  <c r="AK37" i="2"/>
  <c r="AK38" i="2"/>
  <c r="AK39" i="2"/>
  <c r="AK40" i="2"/>
  <c r="Y14" i="2"/>
  <c r="AJ14" i="2" s="1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Y30" i="2"/>
  <c r="AJ30" i="2"/>
  <c r="Y31" i="2"/>
  <c r="AJ31" i="2"/>
  <c r="Y33" i="2"/>
  <c r="AJ33" i="2"/>
  <c r="Y34" i="2"/>
  <c r="AJ34" i="2"/>
  <c r="Y35" i="2"/>
  <c r="AJ35" i="2"/>
  <c r="Y36" i="2"/>
  <c r="AJ36" i="2"/>
  <c r="AJ37" i="2"/>
  <c r="AJ38" i="2"/>
  <c r="AJ39" i="2"/>
  <c r="AJ40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70" i="2"/>
  <c r="AE71" i="2"/>
  <c r="AE72" i="2"/>
  <c r="AE73" i="2"/>
  <c r="AE74" i="2"/>
  <c r="AE75" i="2"/>
  <c r="AE76" i="2"/>
  <c r="AE77" i="2"/>
  <c r="AE78" i="2"/>
  <c r="AE79" i="2"/>
  <c r="AE80" i="2"/>
  <c r="AE82" i="2"/>
  <c r="AE83" i="2"/>
  <c r="AE84" i="2"/>
  <c r="AE85" i="2"/>
  <c r="P4" i="2"/>
  <c r="E28" i="5" s="1"/>
  <c r="AX14" i="2"/>
  <c r="BH14" i="2" s="1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AX30" i="2"/>
  <c r="BH30" i="2"/>
  <c r="AX31" i="2"/>
  <c r="BH31" i="2"/>
  <c r="AX32" i="2"/>
  <c r="BH32" i="2" s="1"/>
  <c r="AX33" i="2"/>
  <c r="BH33" i="2"/>
  <c r="AX34" i="2"/>
  <c r="BH34" i="2"/>
  <c r="AX35" i="2"/>
  <c r="BH35" i="2"/>
  <c r="AX36" i="2"/>
  <c r="BH36" i="2"/>
  <c r="AX37" i="2"/>
  <c r="BH37" i="2"/>
  <c r="AX38" i="2"/>
  <c r="BH38" i="2"/>
  <c r="AX39" i="2"/>
  <c r="BH39" i="2"/>
  <c r="AW14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AW30" i="2"/>
  <c r="BG30" i="2"/>
  <c r="AW31" i="2"/>
  <c r="BG31" i="2" s="1"/>
  <c r="AW32" i="2"/>
  <c r="BG32" i="2" s="1"/>
  <c r="AW33" i="2"/>
  <c r="BG33" i="2"/>
  <c r="AW34" i="2"/>
  <c r="BG34" i="2"/>
  <c r="AW35" i="2"/>
  <c r="BG35" i="2"/>
  <c r="AW36" i="2"/>
  <c r="BG36" i="2"/>
  <c r="AW37" i="2"/>
  <c r="BG37" i="2"/>
  <c r="AW38" i="2"/>
  <c r="BG38" i="2"/>
  <c r="AW39" i="2"/>
  <c r="BG39" i="2"/>
  <c r="AV14" i="2"/>
  <c r="BF14" i="2" s="1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AV30" i="2"/>
  <c r="BF30" i="2"/>
  <c r="AV31" i="2"/>
  <c r="BF31" i="2"/>
  <c r="AV32" i="2"/>
  <c r="BF32" i="2" s="1"/>
  <c r="AV33" i="2"/>
  <c r="BF33" i="2"/>
  <c r="AV34" i="2"/>
  <c r="BF34" i="2"/>
  <c r="AV35" i="2"/>
  <c r="BF35" i="2"/>
  <c r="AV36" i="2"/>
  <c r="BF36" i="2"/>
  <c r="AV37" i="2"/>
  <c r="BF37" i="2"/>
  <c r="AV38" i="2"/>
  <c r="BF38" i="2"/>
  <c r="AV39" i="2"/>
  <c r="BF39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1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70" i="2"/>
  <c r="BA71" i="2"/>
  <c r="BA72" i="2"/>
  <c r="BA73" i="2"/>
  <c r="BA74" i="2"/>
  <c r="BA75" i="2"/>
  <c r="BA76" i="2"/>
  <c r="BA77" i="2"/>
  <c r="BA78" i="2"/>
  <c r="BA79" i="2"/>
  <c r="BA80" i="2"/>
  <c r="BA82" i="2"/>
  <c r="BA83" i="2"/>
  <c r="BA84" i="2"/>
  <c r="BA85" i="2"/>
  <c r="AY14" i="2"/>
  <c r="AT14" i="2"/>
  <c r="BC14" i="2" s="1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AY30" i="2"/>
  <c r="AT30" i="2"/>
  <c r="BC30" i="2"/>
  <c r="AY31" i="2"/>
  <c r="BC31" i="2"/>
  <c r="BD31" i="2" s="1"/>
  <c r="AY32" i="2"/>
  <c r="AT32" i="2"/>
  <c r="BC32" i="2"/>
  <c r="BD32" i="2" s="1"/>
  <c r="AY33" i="2"/>
  <c r="AT33" i="2"/>
  <c r="BC33" i="2"/>
  <c r="AY34" i="2"/>
  <c r="AT34" i="2"/>
  <c r="BC34" i="2"/>
  <c r="AY35" i="2"/>
  <c r="AT35" i="2"/>
  <c r="BC35" i="2"/>
  <c r="AY36" i="2"/>
  <c r="AT36" i="2"/>
  <c r="BC36" i="2"/>
  <c r="AY37" i="2"/>
  <c r="AT37" i="2"/>
  <c r="BC37" i="2"/>
  <c r="AY38" i="2"/>
  <c r="AT38" i="2"/>
  <c r="BC38" i="2"/>
  <c r="AY39" i="2"/>
  <c r="AT39" i="2"/>
  <c r="BC39" i="2"/>
  <c r="AZ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AZ30" i="2"/>
  <c r="BD30" i="2"/>
  <c r="AZ31" i="2"/>
  <c r="AZ32" i="2"/>
  <c r="AZ33" i="2"/>
  <c r="BD33" i="2"/>
  <c r="AZ34" i="2"/>
  <c r="BD34" i="2"/>
  <c r="AZ35" i="2"/>
  <c r="BD35" i="2"/>
  <c r="AZ36" i="2"/>
  <c r="BD36" i="2"/>
  <c r="AZ37" i="2"/>
  <c r="BD37" i="2"/>
  <c r="AZ38" i="2"/>
  <c r="BD38" i="2"/>
  <c r="AZ39" i="2"/>
  <c r="BD39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1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70" i="2"/>
  <c r="BB71" i="2"/>
  <c r="BB72" i="2"/>
  <c r="BB73" i="2"/>
  <c r="BB74" i="2"/>
  <c r="BB75" i="2"/>
  <c r="BB76" i="2"/>
  <c r="BB77" i="2"/>
  <c r="BB78" i="2"/>
  <c r="BB79" i="2"/>
  <c r="BB80" i="2"/>
  <c r="BB82" i="2"/>
  <c r="BB83" i="2"/>
  <c r="BB84" i="2"/>
  <c r="BB85" i="2"/>
  <c r="AU14" i="2"/>
  <c r="BE14" i="2" s="1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3" i="2"/>
  <c r="BE34" i="2"/>
  <c r="BE35" i="2"/>
  <c r="BE36" i="2"/>
  <c r="BE37" i="2"/>
  <c r="BE38" i="2"/>
  <c r="BE39" i="2"/>
  <c r="P75" i="2"/>
  <c r="AZ80" i="2"/>
  <c r="AY80" i="2"/>
  <c r="AX80" i="2"/>
  <c r="AW80" i="2"/>
  <c r="AV80" i="2"/>
  <c r="AU80" i="2"/>
  <c r="AT80" i="2"/>
  <c r="AF80" i="2"/>
  <c r="AC80" i="2"/>
  <c r="AB80" i="2"/>
  <c r="AA80" i="2"/>
  <c r="Z80" i="2"/>
  <c r="Y80" i="2"/>
  <c r="X80" i="2"/>
  <c r="W80" i="2"/>
  <c r="Q80" i="2"/>
  <c r="P80" i="2"/>
  <c r="O80" i="2"/>
  <c r="O82" i="2"/>
  <c r="P82" i="2"/>
  <c r="O83" i="2"/>
  <c r="P83" i="2"/>
  <c r="O84" i="2"/>
  <c r="P84" i="2"/>
  <c r="Q83" i="2"/>
  <c r="Q84" i="2"/>
  <c r="Q85" i="2"/>
  <c r="AF83" i="2"/>
  <c r="AF84" i="2"/>
  <c r="AT43" i="2"/>
  <c r="AV43" i="2"/>
  <c r="AW43" i="2"/>
  <c r="AX43" i="2"/>
  <c r="AY43" i="2"/>
  <c r="AZ43" i="2"/>
  <c r="AT44" i="2"/>
  <c r="AV44" i="2"/>
  <c r="AW44" i="2"/>
  <c r="AX44" i="2"/>
  <c r="AY44" i="2"/>
  <c r="AZ44" i="2"/>
  <c r="AT45" i="2"/>
  <c r="AV45" i="2"/>
  <c r="AW45" i="2"/>
  <c r="AX45" i="2"/>
  <c r="AY45" i="2"/>
  <c r="AZ45" i="2"/>
  <c r="AT46" i="2"/>
  <c r="AV46" i="2"/>
  <c r="AW46" i="2"/>
  <c r="AX46" i="2"/>
  <c r="AY46" i="2"/>
  <c r="AZ46" i="2"/>
  <c r="AT47" i="2"/>
  <c r="AV47" i="2"/>
  <c r="AW47" i="2"/>
  <c r="AX47" i="2"/>
  <c r="AY47" i="2"/>
  <c r="AZ47" i="2"/>
  <c r="AT48" i="2"/>
  <c r="AV48" i="2"/>
  <c r="AW48" i="2"/>
  <c r="AX48" i="2"/>
  <c r="AY48" i="2"/>
  <c r="AZ48" i="2"/>
  <c r="AT49" i="2"/>
  <c r="AV49" i="2"/>
  <c r="AW49" i="2"/>
  <c r="AX49" i="2"/>
  <c r="AY49" i="2"/>
  <c r="AZ49" i="2"/>
  <c r="AT50" i="2"/>
  <c r="AV50" i="2"/>
  <c r="AW50" i="2"/>
  <c r="AX50" i="2"/>
  <c r="AY50" i="2"/>
  <c r="AZ50" i="2"/>
  <c r="AT51" i="2"/>
  <c r="AV51" i="2"/>
  <c r="AW51" i="2"/>
  <c r="AX51" i="2"/>
  <c r="AY51" i="2"/>
  <c r="AZ51" i="2"/>
  <c r="AT52" i="2"/>
  <c r="AV52" i="2"/>
  <c r="AW52" i="2"/>
  <c r="AX52" i="2"/>
  <c r="AY52" i="2"/>
  <c r="AZ52" i="2"/>
  <c r="AT53" i="2"/>
  <c r="AV53" i="2"/>
  <c r="AW53" i="2"/>
  <c r="AX53" i="2"/>
  <c r="AY53" i="2"/>
  <c r="AZ53" i="2"/>
  <c r="AT54" i="2"/>
  <c r="AV54" i="2"/>
  <c r="AW54" i="2"/>
  <c r="AX54" i="2"/>
  <c r="AY54" i="2"/>
  <c r="AZ54" i="2"/>
  <c r="AT55" i="2"/>
  <c r="AV55" i="2"/>
  <c r="AW55" i="2"/>
  <c r="AX55" i="2"/>
  <c r="AY55" i="2"/>
  <c r="AZ55" i="2"/>
  <c r="AT56" i="2"/>
  <c r="AV56" i="2"/>
  <c r="AW56" i="2"/>
  <c r="AX56" i="2"/>
  <c r="AY56" i="2"/>
  <c r="AZ56" i="2"/>
  <c r="AT57" i="2"/>
  <c r="AV57" i="2"/>
  <c r="AW57" i="2"/>
  <c r="AX57" i="2"/>
  <c r="AY57" i="2"/>
  <c r="AZ57" i="2"/>
  <c r="AT58" i="2"/>
  <c r="AV58" i="2"/>
  <c r="AW58" i="2"/>
  <c r="AX58" i="2"/>
  <c r="AY58" i="2"/>
  <c r="AZ58" i="2"/>
  <c r="AT70" i="2"/>
  <c r="AT71" i="2"/>
  <c r="AU70" i="2"/>
  <c r="AV70" i="2"/>
  <c r="AW70" i="2"/>
  <c r="AX70" i="2"/>
  <c r="AY70" i="2"/>
  <c r="AZ70" i="2"/>
  <c r="AU71" i="2"/>
  <c r="AV71" i="2"/>
  <c r="AW71" i="2"/>
  <c r="AX71" i="2"/>
  <c r="AY71" i="2"/>
  <c r="AZ71" i="2"/>
  <c r="C4" i="2"/>
  <c r="AT61" i="2"/>
  <c r="AV61" i="2"/>
  <c r="AW61" i="2"/>
  <c r="AX61" i="2"/>
  <c r="AY61" i="2"/>
  <c r="AZ61" i="2"/>
  <c r="AT62" i="2"/>
  <c r="AV62" i="2"/>
  <c r="AW62" i="2"/>
  <c r="AX62" i="2"/>
  <c r="AY62" i="2"/>
  <c r="AZ62" i="2"/>
  <c r="AT64" i="2"/>
  <c r="AV64" i="2"/>
  <c r="AW64" i="2"/>
  <c r="AX64" i="2"/>
  <c r="AY64" i="2"/>
  <c r="AZ64" i="2"/>
  <c r="AT65" i="2"/>
  <c r="AU65" i="2"/>
  <c r="AV65" i="2"/>
  <c r="AW65" i="2"/>
  <c r="AX65" i="2"/>
  <c r="AY65" i="2"/>
  <c r="AZ65" i="2"/>
  <c r="AT66" i="2"/>
  <c r="AU66" i="2"/>
  <c r="AV66" i="2"/>
  <c r="AW66" i="2"/>
  <c r="AX66" i="2"/>
  <c r="AY66" i="2"/>
  <c r="AZ66" i="2"/>
  <c r="AT67" i="2"/>
  <c r="AU67" i="2"/>
  <c r="AV67" i="2"/>
  <c r="AW67" i="2"/>
  <c r="AX67" i="2"/>
  <c r="AY67" i="2"/>
  <c r="AZ67" i="2"/>
  <c r="AT68" i="2"/>
  <c r="AU68" i="2"/>
  <c r="AV68" i="2"/>
  <c r="AW68" i="2"/>
  <c r="AX68" i="2"/>
  <c r="AY68" i="2"/>
  <c r="AZ68" i="2"/>
  <c r="AT20" i="2"/>
  <c r="AV20" i="2"/>
  <c r="AW20" i="2"/>
  <c r="AX20" i="2"/>
  <c r="AY20" i="2"/>
  <c r="AZ20" i="2"/>
  <c r="AT21" i="2"/>
  <c r="AV21" i="2"/>
  <c r="AW21" i="2"/>
  <c r="AX21" i="2"/>
  <c r="AY21" i="2"/>
  <c r="AZ21" i="2"/>
  <c r="AT22" i="2"/>
  <c r="AV22" i="2"/>
  <c r="AW22" i="2"/>
  <c r="AX22" i="2"/>
  <c r="AY22" i="2"/>
  <c r="AZ22" i="2"/>
  <c r="AT23" i="2"/>
  <c r="AV23" i="2"/>
  <c r="AW23" i="2"/>
  <c r="AX23" i="2"/>
  <c r="AY23" i="2"/>
  <c r="AZ23" i="2"/>
  <c r="AT24" i="2"/>
  <c r="AV24" i="2"/>
  <c r="AW24" i="2"/>
  <c r="AX24" i="2"/>
  <c r="AY24" i="2"/>
  <c r="AZ24" i="2"/>
  <c r="AT25" i="2"/>
  <c r="AV25" i="2"/>
  <c r="AW25" i="2"/>
  <c r="AX25" i="2"/>
  <c r="AY25" i="2"/>
  <c r="AZ25" i="2"/>
  <c r="AT26" i="2"/>
  <c r="AV26" i="2"/>
  <c r="AW26" i="2"/>
  <c r="AX26" i="2"/>
  <c r="AY26" i="2"/>
  <c r="AZ26" i="2"/>
  <c r="AT27" i="2"/>
  <c r="AV27" i="2"/>
  <c r="AW27" i="2"/>
  <c r="AX27" i="2"/>
  <c r="AY27" i="2"/>
  <c r="AZ27" i="2"/>
  <c r="AT28" i="2"/>
  <c r="AV28" i="2"/>
  <c r="AW28" i="2"/>
  <c r="AX28" i="2"/>
  <c r="AY28" i="2"/>
  <c r="AZ28" i="2"/>
  <c r="AT29" i="2"/>
  <c r="AV29" i="2"/>
  <c r="AW29" i="2"/>
  <c r="AX29" i="2"/>
  <c r="AY29" i="2"/>
  <c r="AZ29" i="2"/>
  <c r="AT15" i="2"/>
  <c r="AV15" i="2"/>
  <c r="AW15" i="2"/>
  <c r="AX15" i="2"/>
  <c r="AY15" i="2"/>
  <c r="AZ15" i="2"/>
  <c r="AT16" i="2"/>
  <c r="AV16" i="2"/>
  <c r="AW16" i="2"/>
  <c r="AX16" i="2"/>
  <c r="AY16" i="2"/>
  <c r="AZ16" i="2"/>
  <c r="AT17" i="2"/>
  <c r="AV17" i="2"/>
  <c r="AW17" i="2"/>
  <c r="AX17" i="2"/>
  <c r="AY17" i="2"/>
  <c r="AZ17" i="2"/>
  <c r="AT18" i="2"/>
  <c r="AV18" i="2"/>
  <c r="AW18" i="2"/>
  <c r="AX18" i="2"/>
  <c r="AY18" i="2"/>
  <c r="AZ18" i="2"/>
  <c r="AT19" i="2"/>
  <c r="AV19" i="2"/>
  <c r="AW19" i="2"/>
  <c r="AX19" i="2"/>
  <c r="AY19" i="2"/>
  <c r="AZ19" i="2"/>
  <c r="H74" i="2"/>
  <c r="AT76" i="2"/>
  <c r="AU76" i="2"/>
  <c r="AV76" i="2"/>
  <c r="AW76" i="2"/>
  <c r="AX76" i="2"/>
  <c r="AY76" i="2"/>
  <c r="AZ76" i="2"/>
  <c r="AU77" i="2"/>
  <c r="AV77" i="2"/>
  <c r="AW77" i="2"/>
  <c r="AX77" i="2"/>
  <c r="AY77" i="2"/>
  <c r="AZ77" i="2"/>
  <c r="AU78" i="2"/>
  <c r="AV78" i="2"/>
  <c r="AW78" i="2"/>
  <c r="AX78" i="2"/>
  <c r="AY78" i="2"/>
  <c r="AZ78" i="2"/>
  <c r="AT77" i="2"/>
  <c r="AT78" i="2"/>
  <c r="W61" i="2"/>
  <c r="AB61" i="2"/>
  <c r="AC61" i="2"/>
  <c r="X61" i="2"/>
  <c r="Y61" i="2"/>
  <c r="Z61" i="2"/>
  <c r="AA61" i="2"/>
  <c r="W86" i="2"/>
  <c r="AF81" i="2"/>
  <c r="AF82" i="2"/>
  <c r="AF85" i="2"/>
  <c r="W15" i="2"/>
  <c r="X15" i="2"/>
  <c r="Y15" i="2"/>
  <c r="Z15" i="2"/>
  <c r="AA15" i="2"/>
  <c r="AF15" i="2"/>
  <c r="AB15" i="2"/>
  <c r="AC15" i="2"/>
  <c r="W16" i="2"/>
  <c r="X16" i="2"/>
  <c r="Y16" i="2"/>
  <c r="Z16" i="2"/>
  <c r="AA16" i="2"/>
  <c r="AF16" i="2"/>
  <c r="AB16" i="2"/>
  <c r="AC16" i="2"/>
  <c r="W17" i="2"/>
  <c r="X17" i="2"/>
  <c r="Y17" i="2"/>
  <c r="Z17" i="2"/>
  <c r="AA17" i="2"/>
  <c r="AF17" i="2"/>
  <c r="AB17" i="2"/>
  <c r="AC17" i="2"/>
  <c r="W18" i="2"/>
  <c r="X18" i="2"/>
  <c r="Y18" i="2"/>
  <c r="Z18" i="2"/>
  <c r="AA18" i="2"/>
  <c r="AF18" i="2"/>
  <c r="AB18" i="2"/>
  <c r="AC18" i="2"/>
  <c r="W19" i="2"/>
  <c r="X19" i="2"/>
  <c r="Y19" i="2"/>
  <c r="Z19" i="2"/>
  <c r="AA19" i="2"/>
  <c r="AF19" i="2"/>
  <c r="AB19" i="2"/>
  <c r="AC19" i="2"/>
  <c r="W20" i="2"/>
  <c r="X20" i="2"/>
  <c r="Y20" i="2"/>
  <c r="Z20" i="2"/>
  <c r="AA20" i="2"/>
  <c r="AF20" i="2"/>
  <c r="AB20" i="2"/>
  <c r="AC20" i="2"/>
  <c r="W21" i="2"/>
  <c r="X21" i="2"/>
  <c r="Y21" i="2"/>
  <c r="Z21" i="2"/>
  <c r="AA21" i="2"/>
  <c r="AF21" i="2"/>
  <c r="AB21" i="2"/>
  <c r="AC21" i="2"/>
  <c r="W22" i="2"/>
  <c r="X22" i="2"/>
  <c r="Y22" i="2"/>
  <c r="Z22" i="2"/>
  <c r="AA22" i="2"/>
  <c r="AF22" i="2"/>
  <c r="AB22" i="2"/>
  <c r="AC22" i="2"/>
  <c r="W23" i="2"/>
  <c r="X23" i="2"/>
  <c r="Y23" i="2"/>
  <c r="Z23" i="2"/>
  <c r="AA23" i="2"/>
  <c r="AF23" i="2"/>
  <c r="AB23" i="2"/>
  <c r="AC23" i="2"/>
  <c r="W24" i="2"/>
  <c r="X24" i="2"/>
  <c r="Y24" i="2"/>
  <c r="Z24" i="2"/>
  <c r="AA24" i="2"/>
  <c r="AF24" i="2"/>
  <c r="AB24" i="2"/>
  <c r="AC24" i="2"/>
  <c r="W25" i="2"/>
  <c r="X25" i="2"/>
  <c r="Y25" i="2"/>
  <c r="Z25" i="2"/>
  <c r="AA25" i="2"/>
  <c r="AF25" i="2"/>
  <c r="AB25" i="2"/>
  <c r="AC25" i="2"/>
  <c r="W26" i="2"/>
  <c r="X26" i="2"/>
  <c r="Y26" i="2"/>
  <c r="Z26" i="2"/>
  <c r="AA26" i="2"/>
  <c r="AF26" i="2"/>
  <c r="AB26" i="2"/>
  <c r="AC26" i="2"/>
  <c r="W27" i="2"/>
  <c r="X27" i="2"/>
  <c r="Y27" i="2"/>
  <c r="Z27" i="2"/>
  <c r="AA27" i="2"/>
  <c r="AF27" i="2"/>
  <c r="AB27" i="2"/>
  <c r="AC27" i="2"/>
  <c r="W28" i="2"/>
  <c r="X28" i="2"/>
  <c r="Y28" i="2"/>
  <c r="Z28" i="2"/>
  <c r="AA28" i="2"/>
  <c r="AF28" i="2"/>
  <c r="AB28" i="2"/>
  <c r="AC28" i="2"/>
  <c r="W29" i="2"/>
  <c r="X29" i="2"/>
  <c r="Y29" i="2"/>
  <c r="Z29" i="2"/>
  <c r="AA29" i="2"/>
  <c r="AF29" i="2"/>
  <c r="AB29" i="2"/>
  <c r="AC29" i="2"/>
  <c r="AF30" i="2"/>
  <c r="AF31" i="2"/>
  <c r="W32" i="2"/>
  <c r="AG32" i="2" s="1"/>
  <c r="AH32" i="2" s="1"/>
  <c r="X32" i="2"/>
  <c r="AI32" i="2" s="1"/>
  <c r="Y32" i="2"/>
  <c r="AJ32" i="2" s="1"/>
  <c r="Z32" i="2"/>
  <c r="AK32" i="2" s="1"/>
  <c r="AA32" i="2"/>
  <c r="AL32" i="2" s="1"/>
  <c r="AF32" i="2"/>
  <c r="AB32" i="2"/>
  <c r="AC32" i="2"/>
  <c r="AF33" i="2"/>
  <c r="AF34" i="2"/>
  <c r="AF35" i="2"/>
  <c r="AF36" i="2"/>
  <c r="W37" i="2"/>
  <c r="X37" i="2"/>
  <c r="Y37" i="2"/>
  <c r="Z37" i="2"/>
  <c r="AA37" i="2"/>
  <c r="AF37" i="2"/>
  <c r="AB37" i="2"/>
  <c r="AC37" i="2"/>
  <c r="W38" i="2"/>
  <c r="X38" i="2"/>
  <c r="Y38" i="2"/>
  <c r="Z38" i="2"/>
  <c r="AA38" i="2"/>
  <c r="AF38" i="2"/>
  <c r="AB38" i="2"/>
  <c r="AC38" i="2"/>
  <c r="W39" i="2"/>
  <c r="X39" i="2"/>
  <c r="Y39" i="2"/>
  <c r="Z39" i="2"/>
  <c r="AA39" i="2"/>
  <c r="AF39" i="2"/>
  <c r="AB39" i="2"/>
  <c r="AC39" i="2"/>
  <c r="W40" i="2"/>
  <c r="X40" i="2"/>
  <c r="Y40" i="2"/>
  <c r="Z40" i="2"/>
  <c r="AA40" i="2"/>
  <c r="AF40" i="2"/>
  <c r="AB40" i="2"/>
  <c r="AC40" i="2"/>
  <c r="AF41" i="2"/>
  <c r="W43" i="2"/>
  <c r="X43" i="2"/>
  <c r="Y43" i="2"/>
  <c r="Z43" i="2"/>
  <c r="AA43" i="2"/>
  <c r="AF43" i="2"/>
  <c r="AB43" i="2"/>
  <c r="AC43" i="2"/>
  <c r="W44" i="2"/>
  <c r="X44" i="2"/>
  <c r="Y44" i="2"/>
  <c r="Z44" i="2"/>
  <c r="AA44" i="2"/>
  <c r="AF44" i="2"/>
  <c r="AB44" i="2"/>
  <c r="AC44" i="2"/>
  <c r="W45" i="2"/>
  <c r="X45" i="2"/>
  <c r="Y45" i="2"/>
  <c r="Z45" i="2"/>
  <c r="AA45" i="2"/>
  <c r="AF45" i="2"/>
  <c r="AB45" i="2"/>
  <c r="AC45" i="2"/>
  <c r="W46" i="2"/>
  <c r="X46" i="2"/>
  <c r="Y46" i="2"/>
  <c r="Z46" i="2"/>
  <c r="AA46" i="2"/>
  <c r="AF46" i="2"/>
  <c r="AB46" i="2"/>
  <c r="AC46" i="2"/>
  <c r="W47" i="2"/>
  <c r="X47" i="2"/>
  <c r="Y47" i="2"/>
  <c r="Z47" i="2"/>
  <c r="AA47" i="2"/>
  <c r="AF47" i="2"/>
  <c r="AB47" i="2"/>
  <c r="AC47" i="2"/>
  <c r="W48" i="2"/>
  <c r="X48" i="2"/>
  <c r="Y48" i="2"/>
  <c r="Z48" i="2"/>
  <c r="AA48" i="2"/>
  <c r="AF48" i="2"/>
  <c r="AB48" i="2"/>
  <c r="AC48" i="2"/>
  <c r="W49" i="2"/>
  <c r="X49" i="2"/>
  <c r="Y49" i="2"/>
  <c r="Z49" i="2"/>
  <c r="AA49" i="2"/>
  <c r="AF49" i="2"/>
  <c r="AB49" i="2"/>
  <c r="AC49" i="2"/>
  <c r="W50" i="2"/>
  <c r="X50" i="2"/>
  <c r="Y50" i="2"/>
  <c r="Z50" i="2"/>
  <c r="AA50" i="2"/>
  <c r="AF50" i="2"/>
  <c r="AB50" i="2"/>
  <c r="AC50" i="2"/>
  <c r="W51" i="2"/>
  <c r="X51" i="2"/>
  <c r="Y51" i="2"/>
  <c r="Z51" i="2"/>
  <c r="AA51" i="2"/>
  <c r="AF51" i="2"/>
  <c r="AB51" i="2"/>
  <c r="AC51" i="2"/>
  <c r="W52" i="2"/>
  <c r="X52" i="2"/>
  <c r="Y52" i="2"/>
  <c r="Z52" i="2"/>
  <c r="AA52" i="2"/>
  <c r="AF52" i="2"/>
  <c r="AB52" i="2"/>
  <c r="AC52" i="2"/>
  <c r="W53" i="2"/>
  <c r="X53" i="2"/>
  <c r="Y53" i="2"/>
  <c r="Z53" i="2"/>
  <c r="AA53" i="2"/>
  <c r="AF53" i="2"/>
  <c r="AB53" i="2"/>
  <c r="AC53" i="2"/>
  <c r="W54" i="2"/>
  <c r="X54" i="2"/>
  <c r="Y54" i="2"/>
  <c r="Z54" i="2"/>
  <c r="AA54" i="2"/>
  <c r="AF54" i="2"/>
  <c r="AB54" i="2"/>
  <c r="AC54" i="2"/>
  <c r="W55" i="2"/>
  <c r="X55" i="2"/>
  <c r="Y55" i="2"/>
  <c r="Z55" i="2"/>
  <c r="AA55" i="2"/>
  <c r="AF55" i="2"/>
  <c r="AB55" i="2"/>
  <c r="AC55" i="2"/>
  <c r="W56" i="2"/>
  <c r="X56" i="2"/>
  <c r="Y56" i="2"/>
  <c r="Z56" i="2"/>
  <c r="AA56" i="2"/>
  <c r="AF56" i="2"/>
  <c r="AB56" i="2"/>
  <c r="AC56" i="2"/>
  <c r="W57" i="2"/>
  <c r="X57" i="2"/>
  <c r="Y57" i="2"/>
  <c r="Z57" i="2"/>
  <c r="AA57" i="2"/>
  <c r="AF57" i="2"/>
  <c r="AB57" i="2"/>
  <c r="AC57" i="2"/>
  <c r="W58" i="2"/>
  <c r="X58" i="2"/>
  <c r="Y58" i="2"/>
  <c r="Z58" i="2"/>
  <c r="AA58" i="2"/>
  <c r="AF58" i="2"/>
  <c r="AB58" i="2"/>
  <c r="AC58" i="2"/>
  <c r="AF59" i="2"/>
  <c r="W60" i="2"/>
  <c r="X60" i="2"/>
  <c r="AI60" i="2" s="1"/>
  <c r="Y60" i="2"/>
  <c r="AJ60" i="2" s="1"/>
  <c r="Z60" i="2"/>
  <c r="AK60" i="2" s="1"/>
  <c r="AA60" i="2"/>
  <c r="AL60" i="2" s="1"/>
  <c r="AF60" i="2"/>
  <c r="AB60" i="2"/>
  <c r="AC60" i="2"/>
  <c r="AF61" i="2"/>
  <c r="W62" i="2"/>
  <c r="X62" i="2"/>
  <c r="Y62" i="2"/>
  <c r="Z62" i="2"/>
  <c r="AA62" i="2"/>
  <c r="AF62" i="2"/>
  <c r="AB62" i="2"/>
  <c r="AC62" i="2"/>
  <c r="AF63" i="2"/>
  <c r="W64" i="2"/>
  <c r="X64" i="2"/>
  <c r="Y64" i="2"/>
  <c r="Z64" i="2"/>
  <c r="AA64" i="2"/>
  <c r="AF64" i="2"/>
  <c r="AB64" i="2"/>
  <c r="AC64" i="2"/>
  <c r="W65" i="2"/>
  <c r="X65" i="2"/>
  <c r="Y65" i="2"/>
  <c r="Z65" i="2"/>
  <c r="AA65" i="2"/>
  <c r="AF65" i="2"/>
  <c r="AB65" i="2"/>
  <c r="AC65" i="2"/>
  <c r="W66" i="2"/>
  <c r="X66" i="2"/>
  <c r="Y66" i="2"/>
  <c r="Z66" i="2"/>
  <c r="AA66" i="2"/>
  <c r="AF66" i="2"/>
  <c r="AB66" i="2"/>
  <c r="AC66" i="2"/>
  <c r="W67" i="2"/>
  <c r="X67" i="2"/>
  <c r="Y67" i="2"/>
  <c r="Z67" i="2"/>
  <c r="AA67" i="2"/>
  <c r="AF67" i="2"/>
  <c r="AB67" i="2"/>
  <c r="AC67" i="2"/>
  <c r="W68" i="2"/>
  <c r="X68" i="2"/>
  <c r="Y68" i="2"/>
  <c r="Z68" i="2"/>
  <c r="AA68" i="2"/>
  <c r="AF68" i="2"/>
  <c r="AB68" i="2"/>
  <c r="AC68" i="2"/>
  <c r="W70" i="2"/>
  <c r="X70" i="2"/>
  <c r="Y70" i="2"/>
  <c r="Z70" i="2"/>
  <c r="AA70" i="2"/>
  <c r="AF70" i="2"/>
  <c r="AB70" i="2"/>
  <c r="AC70" i="2"/>
  <c r="W71" i="2"/>
  <c r="X71" i="2"/>
  <c r="Y71" i="2"/>
  <c r="Z71" i="2"/>
  <c r="AA71" i="2"/>
  <c r="AF71" i="2"/>
  <c r="AB71" i="2"/>
  <c r="AC71" i="2"/>
  <c r="W72" i="2"/>
  <c r="X72" i="2"/>
  <c r="Y72" i="2"/>
  <c r="Z72" i="2"/>
  <c r="AA72" i="2"/>
  <c r="AF72" i="2"/>
  <c r="AB72" i="2"/>
  <c r="AC72" i="2"/>
  <c r="W73" i="2"/>
  <c r="X73" i="2"/>
  <c r="Y73" i="2"/>
  <c r="Z73" i="2"/>
  <c r="AA73" i="2"/>
  <c r="AF73" i="2"/>
  <c r="AB73" i="2"/>
  <c r="AC73" i="2"/>
  <c r="W74" i="2"/>
  <c r="X74" i="2"/>
  <c r="Y74" i="2"/>
  <c r="Z74" i="2"/>
  <c r="AA74" i="2"/>
  <c r="AF74" i="2"/>
  <c r="AB74" i="2"/>
  <c r="AC74" i="2"/>
  <c r="AF75" i="2"/>
  <c r="W76" i="2"/>
  <c r="X76" i="2"/>
  <c r="Y76" i="2"/>
  <c r="Z76" i="2"/>
  <c r="AA76" i="2"/>
  <c r="AF76" i="2"/>
  <c r="AB76" i="2"/>
  <c r="AC76" i="2"/>
  <c r="AF77" i="2"/>
  <c r="AF78" i="2"/>
  <c r="AF79" i="2"/>
  <c r="O43" i="2"/>
  <c r="P43" i="2"/>
  <c r="Q43" i="2"/>
  <c r="O44" i="2"/>
  <c r="P44" i="2"/>
  <c r="Q44" i="2"/>
  <c r="O45" i="2"/>
  <c r="P45" i="2"/>
  <c r="Q45" i="2"/>
  <c r="O46" i="2"/>
  <c r="P46" i="2"/>
  <c r="Q46" i="2"/>
  <c r="O47" i="2"/>
  <c r="P47" i="2"/>
  <c r="Q47" i="2"/>
  <c r="O48" i="2"/>
  <c r="P48" i="2"/>
  <c r="Q48" i="2"/>
  <c r="O49" i="2"/>
  <c r="P49" i="2"/>
  <c r="Q49" i="2"/>
  <c r="O50" i="2"/>
  <c r="P50" i="2"/>
  <c r="Q50" i="2"/>
  <c r="O51" i="2"/>
  <c r="P51" i="2"/>
  <c r="Q51" i="2"/>
  <c r="O52" i="2"/>
  <c r="P52" i="2"/>
  <c r="Q52" i="2"/>
  <c r="O53" i="2"/>
  <c r="P53" i="2"/>
  <c r="Q53" i="2"/>
  <c r="O54" i="2"/>
  <c r="P54" i="2"/>
  <c r="Q54" i="2"/>
  <c r="O55" i="2"/>
  <c r="P55" i="2"/>
  <c r="Q55" i="2"/>
  <c r="O56" i="2"/>
  <c r="P56" i="2"/>
  <c r="Q56" i="2"/>
  <c r="O57" i="2"/>
  <c r="P57" i="2"/>
  <c r="Q57" i="2"/>
  <c r="O58" i="2"/>
  <c r="P58" i="2"/>
  <c r="Q58" i="2"/>
  <c r="O59" i="2"/>
  <c r="P59" i="2"/>
  <c r="Q59" i="2"/>
  <c r="Q60" i="2"/>
  <c r="O61" i="2"/>
  <c r="P61" i="2"/>
  <c r="Q61" i="2"/>
  <c r="O62" i="2"/>
  <c r="P62" i="2"/>
  <c r="Q62" i="2"/>
  <c r="O63" i="2"/>
  <c r="P63" i="2"/>
  <c r="Q63" i="2"/>
  <c r="O64" i="2"/>
  <c r="P64" i="2"/>
  <c r="Q64" i="2"/>
  <c r="O65" i="2"/>
  <c r="P65" i="2"/>
  <c r="Q65" i="2"/>
  <c r="O66" i="2"/>
  <c r="P66" i="2"/>
  <c r="Q66" i="2"/>
  <c r="O67" i="2"/>
  <c r="P67" i="2"/>
  <c r="Q67" i="2"/>
  <c r="O68" i="2"/>
  <c r="P68" i="2"/>
  <c r="Q68" i="2"/>
  <c r="O70" i="2"/>
  <c r="P70" i="2"/>
  <c r="Q70" i="2"/>
  <c r="O71" i="2"/>
  <c r="P71" i="2"/>
  <c r="Q71" i="2"/>
  <c r="O72" i="2"/>
  <c r="P72" i="2"/>
  <c r="Q72" i="2"/>
  <c r="O73" i="2"/>
  <c r="P73" i="2"/>
  <c r="Q73" i="2"/>
  <c r="O74" i="2"/>
  <c r="P74" i="2"/>
  <c r="Q74" i="2"/>
  <c r="O75" i="2"/>
  <c r="Q75" i="2"/>
  <c r="O76" i="2"/>
  <c r="P76" i="2"/>
  <c r="Q76" i="2"/>
  <c r="O77" i="2"/>
  <c r="P77" i="2"/>
  <c r="Q77" i="2"/>
  <c r="O78" i="2"/>
  <c r="P78" i="2"/>
  <c r="Q78" i="2"/>
  <c r="O79" i="2"/>
  <c r="P79" i="2"/>
  <c r="Q79" i="2"/>
  <c r="O86" i="2"/>
  <c r="P86" i="2"/>
  <c r="Q86" i="2"/>
  <c r="Q82" i="2"/>
  <c r="O85" i="2"/>
  <c r="P85" i="2"/>
  <c r="O15" i="2"/>
  <c r="P15" i="2"/>
  <c r="Q15" i="2"/>
  <c r="O16" i="2"/>
  <c r="P16" i="2"/>
  <c r="Q16" i="2"/>
  <c r="O17" i="2"/>
  <c r="P17" i="2"/>
  <c r="Q17" i="2"/>
  <c r="O18" i="2"/>
  <c r="P18" i="2"/>
  <c r="Q18" i="2"/>
  <c r="O19" i="2"/>
  <c r="P19" i="2"/>
  <c r="Q19" i="2"/>
  <c r="O20" i="2"/>
  <c r="P20" i="2"/>
  <c r="Q20" i="2"/>
  <c r="O21" i="2"/>
  <c r="P21" i="2"/>
  <c r="Q21" i="2"/>
  <c r="O22" i="2"/>
  <c r="P22" i="2"/>
  <c r="Q22" i="2"/>
  <c r="O23" i="2"/>
  <c r="P23" i="2"/>
  <c r="Q23" i="2"/>
  <c r="O24" i="2"/>
  <c r="P24" i="2"/>
  <c r="Q24" i="2"/>
  <c r="O25" i="2"/>
  <c r="P25" i="2"/>
  <c r="Q25" i="2"/>
  <c r="O26" i="2"/>
  <c r="P26" i="2"/>
  <c r="Q26" i="2"/>
  <c r="O27" i="2"/>
  <c r="P27" i="2"/>
  <c r="Q27" i="2"/>
  <c r="O28" i="2"/>
  <c r="P28" i="2"/>
  <c r="Q28" i="2"/>
  <c r="O29" i="2"/>
  <c r="P29" i="2"/>
  <c r="Q29" i="2"/>
  <c r="O30" i="2"/>
  <c r="P30" i="2"/>
  <c r="Q30" i="2"/>
  <c r="O31" i="2"/>
  <c r="P31" i="2"/>
  <c r="Q31" i="2"/>
  <c r="O32" i="2"/>
  <c r="P32" i="2"/>
  <c r="Q32" i="2"/>
  <c r="O33" i="2"/>
  <c r="P33" i="2"/>
  <c r="Q33" i="2"/>
  <c r="O34" i="2"/>
  <c r="P34" i="2"/>
  <c r="Q34" i="2"/>
  <c r="O35" i="2"/>
  <c r="P35" i="2"/>
  <c r="Q35" i="2"/>
  <c r="O36" i="2"/>
  <c r="P36" i="2"/>
  <c r="Q36" i="2"/>
  <c r="O37" i="2"/>
  <c r="P37" i="2"/>
  <c r="Q37" i="2"/>
  <c r="O38" i="2"/>
  <c r="P38" i="2"/>
  <c r="Q38" i="2"/>
  <c r="O39" i="2"/>
  <c r="P39" i="2"/>
  <c r="Q39" i="2"/>
  <c r="BA89" i="2"/>
  <c r="H73" i="2"/>
  <c r="H72" i="2"/>
  <c r="AF14" i="2"/>
  <c r="O41" i="2"/>
  <c r="P41" i="2"/>
  <c r="Q41" i="2"/>
  <c r="P14" i="2"/>
  <c r="Q14" i="2"/>
  <c r="O14" i="2"/>
  <c r="G101" i="5"/>
  <c r="AQ90" i="2"/>
  <c r="G2" i="5" s="1"/>
  <c r="G51" i="5" s="1"/>
  <c r="AQ96" i="2"/>
  <c r="G8" i="5"/>
  <c r="T95" i="2"/>
  <c r="F8" i="5"/>
  <c r="E8" i="5"/>
  <c r="AM15" i="2"/>
  <c r="AM60" i="2"/>
  <c r="T94" i="2"/>
  <c r="E6" i="5" s="1"/>
  <c r="BI28" i="2"/>
  <c r="BI26" i="2"/>
  <c r="BI24" i="2"/>
  <c r="BI22" i="2"/>
  <c r="BI20" i="2"/>
  <c r="BI18" i="2"/>
  <c r="BI16" i="2"/>
  <c r="BI57" i="2"/>
  <c r="BI55" i="2"/>
  <c r="BI53" i="2"/>
  <c r="BI51" i="2"/>
  <c r="BI49" i="2"/>
  <c r="BI47" i="2"/>
  <c r="BI45" i="2"/>
  <c r="BI43" i="2"/>
  <c r="F105" i="5"/>
  <c r="AG60" i="2"/>
  <c r="AH60" i="2" s="1"/>
  <c r="E7" i="5"/>
  <c r="F7" i="5"/>
  <c r="AQ109" i="2" l="1"/>
  <c r="G21" i="5" s="1"/>
  <c r="G122" i="5" s="1"/>
  <c r="BI32" i="2"/>
  <c r="AQ108" i="2"/>
  <c r="G20" i="5" s="1"/>
  <c r="G121" i="5" s="1"/>
  <c r="AU52" i="2"/>
  <c r="BI50" i="2"/>
  <c r="AU48" i="2"/>
  <c r="AQ106" i="2"/>
  <c r="G18" i="5" s="1"/>
  <c r="G118" i="5" s="1"/>
  <c r="G119" i="5" s="1"/>
  <c r="G123" i="5" s="1"/>
  <c r="AQ102" i="2"/>
  <c r="G14" i="5" s="1"/>
  <c r="AQ107" i="2"/>
  <c r="G19" i="5" s="1"/>
  <c r="G120" i="5" s="1"/>
  <c r="BI58" i="2"/>
  <c r="AQ94" i="2" s="1"/>
  <c r="G6" i="5" s="1"/>
  <c r="AU44" i="2"/>
  <c r="BC41" i="2"/>
  <c r="BD41" i="2" s="1"/>
  <c r="AQ111" i="2" s="1"/>
  <c r="G23" i="5" s="1"/>
  <c r="F6" i="5"/>
  <c r="F3" i="5"/>
  <c r="F61" i="5" s="1"/>
  <c r="T107" i="2"/>
  <c r="F19" i="5" s="1"/>
  <c r="F120" i="5" s="1"/>
  <c r="T102" i="2"/>
  <c r="E14" i="5" s="1"/>
  <c r="T108" i="2"/>
  <c r="E20" i="5" s="1"/>
  <c r="E121" i="5" s="1"/>
  <c r="T109" i="2"/>
  <c r="F21" i="5" s="1"/>
  <c r="F122" i="5" s="1"/>
  <c r="AQ110" i="2"/>
  <c r="G22" i="5" s="1"/>
  <c r="F20" i="5"/>
  <c r="F121" i="5" s="1"/>
  <c r="E21" i="5"/>
  <c r="E122" i="5" s="1"/>
  <c r="AH41" i="2"/>
  <c r="T111" i="2" s="1"/>
  <c r="F23" i="5" s="1"/>
  <c r="T110" i="2"/>
  <c r="T106" i="2"/>
  <c r="T99" i="2"/>
  <c r="AU54" i="2"/>
  <c r="AU46" i="2"/>
  <c r="AQ100" i="2"/>
  <c r="G12" i="5" s="1"/>
  <c r="G73" i="5" s="1"/>
  <c r="T97" i="2"/>
  <c r="F9" i="5" s="1"/>
  <c r="AH14" i="2"/>
  <c r="T103" i="2"/>
  <c r="AQ99" i="2"/>
  <c r="G11" i="5" s="1"/>
  <c r="AQ98" i="2"/>
  <c r="G10" i="5" s="1"/>
  <c r="AQ101" i="2"/>
  <c r="G13" i="5" s="1"/>
  <c r="T101" i="2"/>
  <c r="F13" i="5" s="1"/>
  <c r="F74" i="5" s="1"/>
  <c r="AU23" i="2"/>
  <c r="AU15" i="2"/>
  <c r="T100" i="2"/>
  <c r="E12" i="5" s="1"/>
  <c r="T98" i="2"/>
  <c r="E10" i="5" s="1"/>
  <c r="T90" i="2"/>
  <c r="E2" i="5" s="1"/>
  <c r="E51" i="5" s="1"/>
  <c r="AQ97" i="2"/>
  <c r="G9" i="5" s="1"/>
  <c r="AQ103" i="2"/>
  <c r="G15" i="5" s="1"/>
  <c r="BD14" i="2"/>
  <c r="BI27" i="2"/>
  <c r="BI19" i="2"/>
  <c r="AM21" i="2"/>
  <c r="T93" i="2" s="1"/>
  <c r="BI25" i="2"/>
  <c r="BI17" i="2"/>
  <c r="G52" i="5"/>
  <c r="G108" i="5" l="1"/>
  <c r="G109" i="5" s="1"/>
  <c r="G112" i="5"/>
  <c r="AQ93" i="2"/>
  <c r="G5" i="5" s="1"/>
  <c r="F14" i="5"/>
  <c r="G75" i="5"/>
  <c r="F12" i="5"/>
  <c r="F110" i="5" s="1"/>
  <c r="G111" i="5"/>
  <c r="G71" i="5"/>
  <c r="G72" i="5" s="1"/>
  <c r="E13" i="5"/>
  <c r="E74" i="5" s="1"/>
  <c r="E9" i="5"/>
  <c r="E52" i="5" s="1"/>
  <c r="E19" i="5"/>
  <c r="E120" i="5" s="1"/>
  <c r="E23" i="5"/>
  <c r="C32" i="5"/>
  <c r="E22" i="5"/>
  <c r="F22" i="5"/>
  <c r="F62" i="5" s="1"/>
  <c r="F63" i="5" s="1"/>
  <c r="F64" i="5" s="1"/>
  <c r="F10" i="5"/>
  <c r="G110" i="5"/>
  <c r="G113" i="5" s="1"/>
  <c r="G62" i="5"/>
  <c r="G63" i="5" s="1"/>
  <c r="G64" i="5" s="1"/>
  <c r="AQ104" i="2"/>
  <c r="G16" i="5" s="1"/>
  <c r="G53" i="5" s="1"/>
  <c r="G54" i="5" s="1"/>
  <c r="G55" i="5" s="1"/>
  <c r="T104" i="2"/>
  <c r="E16" i="5" s="1"/>
  <c r="F11" i="5"/>
  <c r="E11" i="5"/>
  <c r="E71" i="5" s="1"/>
  <c r="E72" i="5" s="1"/>
  <c r="F18" i="5"/>
  <c r="F118" i="5" s="1"/>
  <c r="F119" i="5" s="1"/>
  <c r="F123" i="5" s="1"/>
  <c r="E18" i="5"/>
  <c r="AQ92" i="2"/>
  <c r="G4" i="5" s="1"/>
  <c r="E112" i="5"/>
  <c r="E75" i="5"/>
  <c r="G74" i="5"/>
  <c r="F2" i="5"/>
  <c r="F51" i="5" s="1"/>
  <c r="F15" i="5"/>
  <c r="E15" i="5"/>
  <c r="F112" i="5"/>
  <c r="F75" i="5"/>
  <c r="E5" i="5"/>
  <c r="F5" i="5"/>
  <c r="T92" i="2"/>
  <c r="E73" i="5"/>
  <c r="F111" i="5"/>
  <c r="E111" i="5" l="1"/>
  <c r="F73" i="5"/>
  <c r="E62" i="5"/>
  <c r="E63" i="5" s="1"/>
  <c r="E64" i="5" s="1"/>
  <c r="E65" i="5" s="1"/>
  <c r="E110" i="5"/>
  <c r="E53" i="5"/>
  <c r="E54" i="5" s="1"/>
  <c r="E55" i="5" s="1"/>
  <c r="E56" i="5" s="1"/>
  <c r="F16" i="5"/>
  <c r="F53" i="5" s="1"/>
  <c r="F54" i="5" s="1"/>
  <c r="F55" i="5" s="1"/>
  <c r="F57" i="5" s="1"/>
  <c r="F66" i="5"/>
  <c r="F124" i="5" s="1"/>
  <c r="F125" i="5" s="1"/>
  <c r="F126" i="5" s="1"/>
  <c r="F65" i="5"/>
  <c r="G65" i="5"/>
  <c r="G66" i="5"/>
  <c r="G124" i="5" s="1"/>
  <c r="G125" i="5" s="1"/>
  <c r="G126" i="5" s="1"/>
  <c r="E66" i="5"/>
  <c r="E108" i="5"/>
  <c r="E109" i="5" s="1"/>
  <c r="E118" i="5"/>
  <c r="E119" i="5" s="1"/>
  <c r="E123" i="5" s="1"/>
  <c r="E124" i="5" s="1"/>
  <c r="E125" i="5" s="1"/>
  <c r="E126" i="5" s="1"/>
  <c r="F71" i="5"/>
  <c r="F72" i="5" s="1"/>
  <c r="F108" i="5"/>
  <c r="F109" i="5" s="1"/>
  <c r="F113" i="5" s="1"/>
  <c r="E4" i="5"/>
  <c r="F4" i="5"/>
  <c r="G56" i="5"/>
  <c r="G57" i="5"/>
  <c r="E113" i="5" l="1"/>
  <c r="E57" i="5"/>
  <c r="E85" i="5" s="1"/>
  <c r="E95" i="5" s="1"/>
  <c r="F69" i="5"/>
  <c r="F68" i="5" s="1"/>
  <c r="F56" i="5"/>
  <c r="F58" i="5"/>
  <c r="F92" i="5" s="1"/>
  <c r="F59" i="5"/>
  <c r="F84" i="5"/>
  <c r="F82" i="5"/>
  <c r="F87" i="5"/>
  <c r="F97" i="5" s="1"/>
  <c r="F77" i="5"/>
  <c r="F78" i="5" s="1"/>
  <c r="F79" i="5" s="1"/>
  <c r="E82" i="5"/>
  <c r="F114" i="5"/>
  <c r="F115" i="5" s="1"/>
  <c r="F116" i="5" s="1"/>
  <c r="F85" i="5"/>
  <c r="F95" i="5" s="1"/>
  <c r="F86" i="5"/>
  <c r="F96" i="5" s="1"/>
  <c r="F60" i="5"/>
  <c r="F88" i="5" s="1"/>
  <c r="G85" i="5"/>
  <c r="G95" i="5" s="1"/>
  <c r="G84" i="5"/>
  <c r="G82" i="5"/>
  <c r="G58" i="5"/>
  <c r="G92" i="5" s="1"/>
  <c r="G77" i="5"/>
  <c r="G78" i="5" s="1"/>
  <c r="G79" i="5" s="1"/>
  <c r="G59" i="5"/>
  <c r="G86" i="5"/>
  <c r="G96" i="5" s="1"/>
  <c r="G87" i="5"/>
  <c r="G97" i="5" s="1"/>
  <c r="G114" i="5"/>
  <c r="G115" i="5" s="1"/>
  <c r="G116" i="5" s="1"/>
  <c r="G60" i="5"/>
  <c r="G69" i="5"/>
  <c r="G68" i="5" s="1"/>
  <c r="E114" i="5" l="1"/>
  <c r="E115" i="5" s="1"/>
  <c r="E116" i="5" s="1"/>
  <c r="E69" i="5"/>
  <c r="E68" i="5" s="1"/>
  <c r="E58" i="5"/>
  <c r="E92" i="5" s="1"/>
  <c r="E59" i="5"/>
  <c r="E87" i="5"/>
  <c r="E97" i="5" s="1"/>
  <c r="E60" i="5"/>
  <c r="E88" i="5" s="1"/>
  <c r="E86" i="5"/>
  <c r="E96" i="5" s="1"/>
  <c r="E84" i="5"/>
  <c r="E77" i="5"/>
  <c r="E78" i="5" s="1"/>
  <c r="E79" i="5" s="1"/>
  <c r="F89" i="5"/>
  <c r="E89" i="5"/>
  <c r="F100" i="5"/>
  <c r="F103" i="5" s="1"/>
  <c r="F104" i="5" s="1"/>
  <c r="F94" i="5"/>
  <c r="G88" i="5"/>
  <c r="G89" i="5"/>
  <c r="G94" i="5"/>
  <c r="G100" i="5"/>
  <c r="G103" i="5" s="1"/>
  <c r="G104" i="5" s="1"/>
  <c r="E100" i="5" l="1"/>
  <c r="E103" i="5" s="1"/>
  <c r="E104" i="5" s="1"/>
  <c r="E94" i="5"/>
</calcChain>
</file>

<file path=xl/comments1.xml><?xml version="1.0" encoding="utf-8"?>
<comments xmlns="http://schemas.openxmlformats.org/spreadsheetml/2006/main">
  <authors>
    <author>G. Reinhold</author>
    <author>E.Gräfe</author>
  </authors>
  <commentList>
    <comment ref="J12" authorId="0">
      <text>
        <r>
          <rPr>
            <sz val="8"/>
            <color indexed="81"/>
            <rFont val="Tahoma"/>
            <family val="2"/>
          </rPr>
          <t>Quelle: www.tll.de/ainfo
Betriebsbezogene handschriftliche Nährstoffbilanz
  Flächenbilanz gemäß Düngeverordnung 2006</t>
        </r>
      </text>
    </comment>
    <comment ref="K12" authorId="0">
      <text>
        <r>
          <rPr>
            <sz val="8"/>
            <color indexed="81"/>
            <rFont val="Tahoma"/>
            <family val="2"/>
          </rPr>
          <t>Achtung: bei Wahl eigenen Werte wird die Formel des Richtwerts überschrieben u. damit  endgültig gelöscht</t>
        </r>
      </text>
    </comment>
    <comment ref="J13" authorId="0">
      <text>
        <r>
          <rPr>
            <sz val="8"/>
            <color indexed="81"/>
            <rFont val="Tahoma"/>
            <family val="2"/>
          </rPr>
          <t xml:space="preserve">Quelle: </t>
        </r>
        <r>
          <rPr>
            <sz val="8"/>
            <color indexed="81"/>
            <rFont val="Tahoma"/>
            <family val="2"/>
          </rPr>
          <t>in Anlehneung an www.KTBL.de
 (Gasausbeuten in landwirtschaftlichen Biogasanlagen)</t>
        </r>
      </text>
    </comment>
    <comment ref="B23" authorId="1">
      <text>
        <r>
          <rPr>
            <sz val="8"/>
            <color indexed="81"/>
            <rFont val="Tahoma"/>
            <family val="2"/>
          </rPr>
          <t xml:space="preserve">Kommentar
</t>
        </r>
      </text>
    </comment>
  </commentList>
</comments>
</file>

<file path=xl/comments2.xml><?xml version="1.0" encoding="utf-8"?>
<comments xmlns="http://schemas.openxmlformats.org/spreadsheetml/2006/main">
  <authors>
    <author>Reinhold</author>
    <author>G. Reinhold</author>
    <author>reinhold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Reinhold:
TLL Richtwert</t>
        </r>
      </text>
    </comment>
    <comment ref="N11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TLL Richtwert</t>
        </r>
      </text>
    </comment>
    <comment ref="Q11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frei Biogasanlage, bei täglicher Anlieferung</t>
        </r>
      </text>
    </comment>
    <comment ref="V11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frei Biogasanlage, bei täglicher Anlieferung</t>
        </r>
      </text>
    </comment>
    <comment ref="X11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Bezug Frischmasse</t>
        </r>
      </text>
    </comment>
    <comment ref="AF11" authorId="1">
      <text>
        <r>
          <rPr>
            <b/>
            <sz val="8"/>
            <color indexed="81"/>
            <rFont val="Tahoma"/>
            <family val="2"/>
          </rPr>
          <t>G. Reinhold:</t>
        </r>
        <r>
          <rPr>
            <sz val="8"/>
            <color indexed="81"/>
            <rFont val="Tahoma"/>
            <family val="2"/>
          </rPr>
          <t xml:space="preserve">
=N org abbau</t>
        </r>
      </text>
    </comment>
    <comment ref="AS11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frei Biogasanlage, bei täglicher Anlieferung</t>
        </r>
      </text>
    </comment>
    <comment ref="AU11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Bezug Frischmasse, TLL Richtwerte</t>
        </r>
      </text>
    </comment>
    <comment ref="AY11" authorId="2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Nach KTBL Heft Nr. 88</t>
        </r>
      </text>
    </comment>
    <comment ref="AZ11" authorId="2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Nach KTBL Heft Nr. 88</t>
        </r>
      </text>
    </comment>
    <comment ref="C14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mit Futterresten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mit Futterresten</t>
        </r>
      </text>
    </comment>
    <comment ref="H72" authorId="1">
      <text>
        <r>
          <rPr>
            <sz val="8"/>
            <color indexed="81"/>
            <rFont val="Tahoma"/>
            <family val="2"/>
          </rPr>
          <t>Umrechnungsfaktor von Rp in N 5,7 für WW
auf die TS bezogen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3" authorId="1">
      <text>
        <r>
          <rPr>
            <sz val="8"/>
            <color indexed="81"/>
            <rFont val="Tahoma"/>
            <family val="2"/>
          </rPr>
          <t>Umrechnungsfaktor von Rp in N 5,7 für alle Getreide außer WW
auf die TS bezogen</t>
        </r>
      </text>
    </comment>
    <comment ref="M76" authorId="1">
      <text>
        <r>
          <rPr>
            <b/>
            <sz val="8"/>
            <color indexed="81"/>
            <rFont val="Tahoma"/>
            <family val="2"/>
          </rPr>
          <t>G. Reinhold:</t>
        </r>
        <r>
          <rPr>
            <sz val="8"/>
            <color indexed="81"/>
            <rFont val="Tahoma"/>
            <family val="2"/>
          </rPr>
          <t xml:space="preserve">
Jäckel</t>
        </r>
      </text>
    </comment>
    <comment ref="O91" authorId="1">
      <text>
        <r>
          <rPr>
            <b/>
            <sz val="8"/>
            <color indexed="81"/>
            <rFont val="Tahoma"/>
            <family val="2"/>
          </rPr>
          <t>G. Reinhold:</t>
        </r>
        <r>
          <rPr>
            <sz val="8"/>
            <color indexed="81"/>
            <rFont val="Tahoma"/>
            <family val="2"/>
          </rPr>
          <t xml:space="preserve">
incl. Wassereinsatz</t>
        </r>
      </text>
    </comment>
    <comment ref="C104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ohne Luft für Entschweflung</t>
        </r>
      </text>
    </comment>
    <comment ref="O104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ohne Luft für Entschweflung</t>
        </r>
      </text>
    </comment>
    <comment ref="AJ104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ohne Luft für Entschweflung</t>
        </r>
      </text>
    </comment>
    <comment ref="C111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ohne Luft für Entschweflung</t>
        </r>
      </text>
    </comment>
    <comment ref="O111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ohne Luft für Entschweflung</t>
        </r>
      </text>
    </comment>
    <comment ref="AJ111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ohne Luft für Entschweflung</t>
        </r>
      </text>
    </comment>
  </commentList>
</comments>
</file>

<file path=xl/comments3.xml><?xml version="1.0" encoding="utf-8"?>
<comments xmlns="http://schemas.openxmlformats.org/spreadsheetml/2006/main">
  <authors>
    <author>Reinhold</author>
    <author>TLL Reinhold Dr., Gerd</author>
    <author>G. Reinhold</author>
  </authors>
  <commentList>
    <comment ref="C16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ohne Luft für Entschweflung</t>
        </r>
      </text>
    </comment>
    <comment ref="H16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ohne Luft für Entschweflung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ohne Luft für Entschweflung</t>
        </r>
      </text>
    </comment>
    <comment ref="H23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ohne Luft für Entschweflung</t>
        </r>
      </text>
    </comment>
    <comment ref="C37" authorId="1">
      <text>
        <r>
          <rPr>
            <b/>
            <sz val="9"/>
            <color indexed="81"/>
            <rFont val="Tahoma"/>
            <family val="2"/>
          </rPr>
          <t>TLL Reinhold Dr., Gerd:</t>
        </r>
        <r>
          <rPr>
            <sz val="9"/>
            <color indexed="81"/>
            <rFont val="Tahoma"/>
            <family val="2"/>
          </rPr>
          <t xml:space="preserve">
TLL Richtwerte 2018</t>
        </r>
      </text>
    </comment>
    <comment ref="C43" authorId="0">
      <text>
        <r>
          <rPr>
            <sz val="8"/>
            <color indexed="81"/>
            <rFont val="Tahoma"/>
            <family val="2"/>
          </rPr>
          <t xml:space="preserve">für den angepassten Richtwert als Einzellagerstätte mit gasdichter Abdeckung
nach: KTBLFaustzahlen Biogas ergänzt mit Korrossionschutz und Isolierung
</t>
        </r>
      </text>
    </comment>
    <comment ref="C49" authorId="2">
      <text>
        <r>
          <rPr>
            <b/>
            <sz val="8"/>
            <color indexed="81"/>
            <rFont val="Tahoma"/>
            <family val="2"/>
          </rPr>
          <t xml:space="preserve">Bedingungen: </t>
        </r>
        <r>
          <rPr>
            <sz val="8"/>
            <color indexed="81"/>
            <rFont val="Tahoma"/>
            <family val="2"/>
          </rPr>
          <t xml:space="preserve">
Lagererrichung außerhalb der Biogasanlageninvestition, 
100 % fremdfinanziert, 
Nutzungsdauer gleich Finanzierungszeitraum
Richtwert nur für investiv begründete Kosten (Afa und Zinsen) ohne Lagerbewirtschaftung und Instandhaltung</t>
        </r>
        <r>
          <rPr>
            <sz val="8"/>
            <color indexed="81"/>
            <rFont val="Tahoma"/>
            <family val="2"/>
          </rPr>
          <t xml:space="preserve">. 
</t>
        </r>
      </text>
    </comment>
    <comment ref="C58" authorId="0">
      <text>
        <r>
          <rPr>
            <sz val="8"/>
            <color indexed="81"/>
            <rFont val="Tahoma"/>
            <family val="2"/>
          </rPr>
          <t xml:space="preserve">auf volle 10 m³ gerundet
</t>
        </r>
      </text>
    </comment>
    <comment ref="C60" authorId="0">
      <text>
        <r>
          <rPr>
            <sz val="8"/>
            <color indexed="81"/>
            <rFont val="Tahoma"/>
            <family val="2"/>
          </rPr>
          <t xml:space="preserve">Masseabbau errechnet aus der Biogasbildung nach KTBOL Richtwerten
</t>
        </r>
      </text>
    </comment>
    <comment ref="C72" authorId="2">
      <text>
        <r>
          <rPr>
            <sz val="8"/>
            <color indexed="81"/>
            <rFont val="Tahoma"/>
            <family val="2"/>
          </rPr>
          <t xml:space="preserve">Anzurechnede N nach Abzug Stall-, Lagerungs- und Ausbringungsverluste laut DüV
</t>
        </r>
      </text>
    </comment>
    <comment ref="C77" authorId="2">
      <text>
        <r>
          <rPr>
            <sz val="8"/>
            <color indexed="81"/>
            <rFont val="Tahoma"/>
            <family val="2"/>
          </rPr>
          <t xml:space="preserve">ohne Zuschläge </t>
        </r>
        <r>
          <rPr>
            <sz val="8"/>
            <color indexed="81"/>
            <rFont val="Tahoma"/>
            <family val="2"/>
          </rPr>
          <t xml:space="preserve">
für Oberflächenwässer  u. Niederschlage</t>
        </r>
      </text>
    </comment>
    <comment ref="C78" authorId="2">
      <text>
        <r>
          <rPr>
            <sz val="8"/>
            <color indexed="81"/>
            <rFont val="Tahoma"/>
            <family val="2"/>
          </rPr>
          <t xml:space="preserve">ohne Zuschläge </t>
        </r>
        <r>
          <rPr>
            <sz val="8"/>
            <color indexed="81"/>
            <rFont val="Tahoma"/>
            <family val="2"/>
          </rPr>
          <t>für Oberflächenwässer  u. Niederschlage,
auf volle 100 aufgerundet,</t>
        </r>
      </text>
    </comment>
    <comment ref="C82" authorId="0">
      <text>
        <r>
          <rPr>
            <sz val="8"/>
            <color indexed="81"/>
            <rFont val="Tahoma"/>
            <family val="2"/>
          </rPr>
          <t>unter Beachtung des Masseverlustes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4" authorId="2">
      <text>
        <r>
          <rPr>
            <sz val="8"/>
            <color indexed="81"/>
            <rFont val="Tahoma"/>
            <family val="2"/>
          </rPr>
          <t>Anzurechnede N nach Abzug Stall-, Lagerungs- und Ausbringungsverluste lautgültiger  DüV sind in Zeile 83 einzureagen</t>
        </r>
      </text>
    </comment>
    <comment ref="C88" authorId="2">
      <text>
        <r>
          <rPr>
            <sz val="8"/>
            <color indexed="81"/>
            <rFont val="Tahoma"/>
            <family val="2"/>
          </rPr>
          <t>VDLUFA Standpunkt 2004:
Aus der Regressionsfunktion für Gärprodukte folgt</t>
        </r>
        <r>
          <rPr>
            <sz val="8"/>
            <color indexed="81"/>
            <rFont val="Tahoma"/>
            <family val="2"/>
          </rPr>
          <t xml:space="preserve">
ein Wert von 142 kg humswirksamer C / t TS</t>
        </r>
      </text>
    </comment>
    <comment ref="C94" authorId="2">
      <text>
        <r>
          <rPr>
            <sz val="8"/>
            <color indexed="81"/>
            <rFont val="Tahoma"/>
            <family val="2"/>
          </rPr>
          <t xml:space="preserve">Stall-, Lagerungs- und Ausbringungsverluste wurden laut  Düngeverordnung
</t>
        </r>
      </text>
    </comment>
    <comment ref="C109" authorId="2">
      <text>
        <r>
          <rPr>
            <sz val="8"/>
            <color indexed="81"/>
            <rFont val="Tahoma"/>
            <family val="2"/>
          </rPr>
          <t xml:space="preserve">Stall-, Lagerungs- und Ausbringungsverluste  laut gültiger Düngeverordnung entsprechend Zeile 83
</t>
        </r>
      </text>
    </comment>
    <comment ref="C113" authorId="2">
      <text>
        <r>
          <rPr>
            <sz val="8"/>
            <color indexed="81"/>
            <rFont val="Tahoma"/>
            <family val="2"/>
          </rPr>
          <t xml:space="preserve">Stall-, Lagerungs- und Ausbringungsverluste laut DüV (Zeile 83) sind berücksichtigt
</t>
        </r>
      </text>
    </comment>
    <comment ref="C119" authorId="2">
      <text>
        <r>
          <rPr>
            <sz val="8"/>
            <color indexed="81"/>
            <rFont val="Tahoma"/>
            <family val="2"/>
          </rPr>
          <t>Stall-, Lagerungs- und Ausbringungsverluste laut DüV (Zeile 83) sind berücksichtigt</t>
        </r>
      </text>
    </comment>
    <comment ref="C123" authorId="2">
      <text>
        <r>
          <rPr>
            <sz val="8"/>
            <color indexed="81"/>
            <rFont val="Tahoma"/>
            <family val="2"/>
          </rPr>
          <t xml:space="preserve">Stall-, Lagerungs- und Ausbringungsverluste laut DüV (Zeile 83) sind berücksichtigt
</t>
        </r>
      </text>
    </comment>
  </commentList>
</comments>
</file>

<file path=xl/comments4.xml><?xml version="1.0" encoding="utf-8"?>
<comments xmlns="http://schemas.openxmlformats.org/spreadsheetml/2006/main">
  <authors>
    <author>Reinhold</author>
    <author>G. Reinhold</author>
  </authors>
  <commentList>
    <comment ref="K312" authorId="0">
      <text>
        <r>
          <rPr>
            <b/>
            <sz val="8"/>
            <color indexed="81"/>
            <rFont val="Tahoma"/>
            <family val="2"/>
          </rPr>
          <t>Reinhold:
TLL Richtwert</t>
        </r>
      </text>
    </comment>
    <comment ref="L312" authorId="0">
      <text>
        <r>
          <rPr>
            <b/>
            <sz val="8"/>
            <color indexed="81"/>
            <rFont val="Tahoma"/>
            <family val="2"/>
          </rPr>
          <t>Reinhold:</t>
        </r>
        <r>
          <rPr>
            <sz val="8"/>
            <color indexed="81"/>
            <rFont val="Tahoma"/>
            <family val="2"/>
          </rPr>
          <t xml:space="preserve">
TLL Richtwert</t>
        </r>
      </text>
    </comment>
    <comment ref="F317" authorId="1">
      <text>
        <r>
          <rPr>
            <sz val="8"/>
            <color indexed="81"/>
            <rFont val="Tahoma"/>
            <family val="2"/>
          </rPr>
          <t>Umrechnungsfaktor von Rp in N 5,7 für WW
auf die TS bezogen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8" authorId="1">
      <text>
        <r>
          <rPr>
            <sz val="8"/>
            <color indexed="81"/>
            <rFont val="Tahoma"/>
            <family val="2"/>
          </rPr>
          <t>Umrechnungsfaktor von Rp in N 5,7 für alle Getreide außer WW
auf die TS bezogen</t>
        </r>
      </text>
    </comment>
    <comment ref="F323" authorId="1">
      <text>
        <r>
          <rPr>
            <sz val="8"/>
            <color indexed="81"/>
            <rFont val="Tahoma"/>
            <family val="2"/>
          </rPr>
          <t>Umrechnungsfaktor von Rp in N 5,7 für WW
auf die TS bezogen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24" authorId="1">
      <text>
        <r>
          <rPr>
            <sz val="8"/>
            <color indexed="81"/>
            <rFont val="Tahoma"/>
            <family val="2"/>
          </rPr>
          <t>Umrechnungsfaktor von Rp in N 5,7 für alle Getreide außer WW
auf die TS bezogen</t>
        </r>
      </text>
    </comment>
    <comment ref="F325" authorId="1">
      <text>
        <r>
          <rPr>
            <sz val="8"/>
            <color indexed="81"/>
            <rFont val="Tahoma"/>
            <family val="2"/>
          </rPr>
          <t>Umrechnungsfaktor von Rp in N 5,7 für alle Getreide außer WW
auf die TS bezogen</t>
        </r>
      </text>
    </comment>
    <comment ref="F326" authorId="1">
      <text>
        <r>
          <rPr>
            <sz val="8"/>
            <color indexed="81"/>
            <rFont val="Tahoma"/>
            <family val="2"/>
          </rPr>
          <t>Umrechnungsfaktor von Rp in N 5,7 für alle Getreide außer WW
auf die TS bezogen</t>
        </r>
      </text>
    </comment>
    <comment ref="A350" authorId="1">
      <text>
        <r>
          <rPr>
            <b/>
            <sz val="8"/>
            <color indexed="81"/>
            <rFont val="Tahoma"/>
            <family val="2"/>
          </rPr>
          <t>G. Reinhold:</t>
        </r>
        <r>
          <rPr>
            <sz val="8"/>
            <color indexed="81"/>
            <rFont val="Tahoma"/>
            <family val="2"/>
          </rPr>
          <t xml:space="preserve">
Mittelwert Nichtleguminosen u. Leguminosen</t>
        </r>
      </text>
    </comment>
    <comment ref="A355" authorId="1">
      <text>
        <r>
          <rPr>
            <b/>
            <sz val="8"/>
            <color indexed="81"/>
            <rFont val="Tahoma"/>
            <family val="2"/>
          </rPr>
          <t>G. Reinhold:</t>
        </r>
        <r>
          <rPr>
            <sz val="8"/>
            <color indexed="81"/>
            <rFont val="Tahoma"/>
            <family val="2"/>
          </rPr>
          <t xml:space="preserve">
aus früh und Spät gemittelt</t>
        </r>
      </text>
    </comment>
  </commentList>
</comments>
</file>

<file path=xl/sharedStrings.xml><?xml version="1.0" encoding="utf-8"?>
<sst xmlns="http://schemas.openxmlformats.org/spreadsheetml/2006/main" count="1401" uniqueCount="430">
  <si>
    <t>Substrate</t>
  </si>
  <si>
    <t>Nährstoffgehalte (kg/t)</t>
  </si>
  <si>
    <t>N</t>
  </si>
  <si>
    <t>P</t>
  </si>
  <si>
    <t>K</t>
  </si>
  <si>
    <t>1. Wirtschaftsdünger</t>
  </si>
  <si>
    <t>Rindergülle</t>
  </si>
  <si>
    <t xml:space="preserve">Mittelwert </t>
  </si>
  <si>
    <t>Milchkuh</t>
  </si>
  <si>
    <t>Schweinegülle</t>
  </si>
  <si>
    <t>Standardfütterung</t>
  </si>
  <si>
    <t>NP-reduzierte Fütterung</t>
  </si>
  <si>
    <t>Geflügelkot</t>
  </si>
  <si>
    <t>Stallmist</t>
  </si>
  <si>
    <t>Rinder</t>
  </si>
  <si>
    <t>Schwein</t>
  </si>
  <si>
    <t>Silage</t>
  </si>
  <si>
    <t>Anwelksilage</t>
  </si>
  <si>
    <t>Kleegras</t>
  </si>
  <si>
    <t>3. Getreide</t>
  </si>
  <si>
    <t>Korn</t>
  </si>
  <si>
    <t>oTS</t>
  </si>
  <si>
    <t>Roh-protein</t>
  </si>
  <si>
    <t>%</t>
  </si>
  <si>
    <t>TS</t>
  </si>
  <si>
    <t>% d. TS</t>
  </si>
  <si>
    <t xml:space="preserve">Art und Eigenschaften </t>
  </si>
  <si>
    <t>l/kg oTS</t>
  </si>
  <si>
    <t>TS-Norm</t>
  </si>
  <si>
    <t>Menge</t>
  </si>
  <si>
    <t>t/d</t>
  </si>
  <si>
    <t>nicht gelagert</t>
  </si>
  <si>
    <t>TS-Gehalt</t>
  </si>
  <si>
    <t>CH4-Erzeugung</t>
  </si>
  <si>
    <t>m³/d</t>
  </si>
  <si>
    <t>Einheit</t>
  </si>
  <si>
    <t>Substrateinsatz</t>
  </si>
  <si>
    <t>m³</t>
  </si>
  <si>
    <t>Biogaserzeugung</t>
  </si>
  <si>
    <t>mittlerer Methangehalt</t>
  </si>
  <si>
    <t>€/t FM</t>
  </si>
  <si>
    <t>oTS-Gehalt</t>
  </si>
  <si>
    <t>Variante 2</t>
  </si>
  <si>
    <t>oTS Einsatz</t>
  </si>
  <si>
    <t xml:space="preserve">Methanerzeugung </t>
  </si>
  <si>
    <t>kg/d</t>
  </si>
  <si>
    <t>kg/m³</t>
  </si>
  <si>
    <t>N Eintrag</t>
  </si>
  <si>
    <t>TS Einsatz</t>
  </si>
  <si>
    <t>N- Einsatz</t>
  </si>
  <si>
    <t>Mais</t>
  </si>
  <si>
    <t>mit Einstreu</t>
  </si>
  <si>
    <t>W-Weizen</t>
  </si>
  <si>
    <t>W-Gerste</t>
  </si>
  <si>
    <t>W-Roggen</t>
  </si>
  <si>
    <t>W-Triticale</t>
  </si>
  <si>
    <t xml:space="preserve">   Biogasgewicht</t>
  </si>
  <si>
    <t xml:space="preserve">   Masseabbau</t>
  </si>
  <si>
    <t>NAWARO-Einsatz</t>
  </si>
  <si>
    <t>T€/a</t>
  </si>
  <si>
    <t>T€</t>
  </si>
  <si>
    <t>NWARO-Kosten</t>
  </si>
  <si>
    <t>Biomassekosten</t>
  </si>
  <si>
    <t>T/€</t>
  </si>
  <si>
    <t>Hinweise zur Kalkulation</t>
  </si>
  <si>
    <t xml:space="preserve"> Feld gesperrt - Eingabe nicht möglich</t>
  </si>
  <si>
    <t>Hinweise zur Verbesserung von Inhalt und Benutzerfreundlichkeit des Programms werden gern entgegengenommen.</t>
  </si>
  <si>
    <t>PARAMETER</t>
  </si>
  <si>
    <t>Güllekosten</t>
  </si>
  <si>
    <t>Silagekosten</t>
  </si>
  <si>
    <t>Getreidekosten</t>
  </si>
  <si>
    <t>Sonstige Substrate</t>
  </si>
  <si>
    <t>Substrat</t>
  </si>
  <si>
    <r>
      <t>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-Ausbeute</t>
    </r>
  </si>
  <si>
    <r>
      <t>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-Gehalt</t>
    </r>
  </si>
  <si>
    <t>Biogas-Erzeugung</t>
  </si>
  <si>
    <r>
      <t>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-Erzeugung</t>
    </r>
  </si>
  <si>
    <t>N-Einsatz</t>
  </si>
  <si>
    <t>Variante</t>
  </si>
  <si>
    <t>Richtwert</t>
  </si>
  <si>
    <t xml:space="preserve">Ko-sten  </t>
  </si>
  <si>
    <t>Nährstoffge-halte (kg/t FM)</t>
  </si>
  <si>
    <t xml:space="preserve">Bemerkungen </t>
  </si>
  <si>
    <t xml:space="preserve">Variante: </t>
  </si>
  <si>
    <t xml:space="preserve"> </t>
  </si>
  <si>
    <t>Kalkulation</t>
  </si>
  <si>
    <r>
      <t xml:space="preserve">Feld nicht gesperrt - Formel kann überschrieben werden, wird damit jedoch </t>
    </r>
    <r>
      <rPr>
        <b/>
        <sz val="10"/>
        <rFont val="Arial"/>
        <family val="2"/>
      </rPr>
      <t>endgültig</t>
    </r>
    <r>
      <rPr>
        <sz val="10"/>
        <rFont val="Arial"/>
        <family val="2"/>
      </rPr>
      <t xml:space="preserve"> gelöscht</t>
    </r>
  </si>
  <si>
    <t xml:space="preserve"> Variante 1</t>
  </si>
  <si>
    <t>(Bitte eintagen)</t>
  </si>
  <si>
    <t>Hinweise</t>
  </si>
  <si>
    <t>Getreide</t>
  </si>
  <si>
    <t>Richtwert = Variante 1</t>
  </si>
  <si>
    <t>Nährstoffgehalte (kg/t FM)</t>
  </si>
  <si>
    <t>Nährstoffgehalte in der Frischmasse (kg/t bzw. kg/m³) Gruppe Tierart/Düngerart</t>
  </si>
  <si>
    <t>Rind</t>
  </si>
  <si>
    <t>Schaf</t>
  </si>
  <si>
    <t>Ziege</t>
  </si>
  <si>
    <t>Pferd</t>
  </si>
  <si>
    <t>Geflügel</t>
  </si>
  <si>
    <t>Jauche</t>
  </si>
  <si>
    <t>Gülle</t>
  </si>
  <si>
    <t>Hühnerfrischkot</t>
  </si>
  <si>
    <t>Hühnertrockenkot</t>
  </si>
  <si>
    <t>Silagesickersaft</t>
  </si>
  <si>
    <t>-</t>
  </si>
  <si>
    <t>Klärschlamm</t>
  </si>
  <si>
    <t>Klärschlammkompost</t>
  </si>
  <si>
    <t>Bioabfallkompost</t>
  </si>
  <si>
    <t>Grüngutkompost</t>
  </si>
  <si>
    <t>Knochenmehl</t>
  </si>
  <si>
    <t>Fleischknochenmehl</t>
  </si>
  <si>
    <t>Gründüngung</t>
  </si>
  <si>
    <t>Stroh</t>
  </si>
  <si>
    <t>Blatt/Kraut</t>
  </si>
  <si>
    <t>Zwischenfrucht/Frucht</t>
  </si>
  <si>
    <t>Rind,Schwein</t>
  </si>
  <si>
    <t>Gülle, dünn</t>
  </si>
  <si>
    <t>Gülle, normal</t>
  </si>
  <si>
    <t>Gülle, dick</t>
  </si>
  <si>
    <t>getrockneter Hühnerkot</t>
  </si>
  <si>
    <t>Org. Dünger</t>
  </si>
  <si>
    <t>Ernterückstände Gemüse</t>
  </si>
  <si>
    <t xml:space="preserve">TS % </t>
  </si>
  <si>
    <t>N 1)</t>
  </si>
  <si>
    <t>N 2)</t>
  </si>
  <si>
    <t>P2O5</t>
  </si>
  <si>
    <t>K2O</t>
  </si>
  <si>
    <t xml:space="preserve">Mg </t>
  </si>
  <si>
    <t>MgO</t>
  </si>
  <si>
    <r>
      <t>N</t>
    </r>
    <r>
      <rPr>
        <sz val="5"/>
        <rFont val="Arial"/>
        <family val="2"/>
      </rPr>
      <t xml:space="preserve"> 1) </t>
    </r>
    <r>
      <rPr>
        <sz val="8"/>
        <rFont val="Arial"/>
        <family val="2"/>
      </rPr>
      <t>Stall- und Lagerungsverluste wurden bei Stallmist, Jauche und Gülle laut Düngeverordnung berücksichtigt,andere Düngestoffe nach Lagerung</t>
    </r>
  </si>
  <si>
    <r>
      <t xml:space="preserve">N </t>
    </r>
    <r>
      <rPr>
        <sz val="5"/>
        <rFont val="Arial"/>
        <family val="2"/>
      </rPr>
      <t xml:space="preserve">2) </t>
    </r>
    <r>
      <rPr>
        <sz val="8"/>
        <rFont val="Arial"/>
        <family val="2"/>
      </rPr>
      <t>Stall-, Lagerungs- und Ausbringungsverluste wurden bei Stallmist, Jauche und Gülle laut Düngeverordnung berücksichtigt</t>
    </r>
  </si>
  <si>
    <t>Formulare - Berechnungshilfen - Richtwerte</t>
  </si>
  <si>
    <t>- Elementwerte - Berechnungsbeispiel -</t>
  </si>
  <si>
    <t>Dipl.-Ing.agr. H. Heß</t>
  </si>
  <si>
    <t>Dr. W. Zorn</t>
  </si>
  <si>
    <t>Jena, Februar 2007</t>
  </si>
  <si>
    <t>Betriebsbezogene handschriftliche Nährstoffbilanz gemäß Düngeverordnung (DüV) 2006</t>
  </si>
  <si>
    <r>
      <t>NH</t>
    </r>
    <r>
      <rPr>
        <sz val="5"/>
        <rFont val="Arial"/>
        <family val="2"/>
      </rPr>
      <t>4</t>
    </r>
    <r>
      <rPr>
        <sz val="8"/>
        <rFont val="Arial"/>
        <family val="2"/>
      </rPr>
      <t>-N  1)</t>
    </r>
  </si>
  <si>
    <t>r</t>
  </si>
  <si>
    <t>s</t>
  </si>
  <si>
    <t>rs</t>
  </si>
  <si>
    <t>g</t>
  </si>
  <si>
    <t>errechnet</t>
  </si>
  <si>
    <t>Mittel</t>
  </si>
  <si>
    <t>t/a</t>
  </si>
  <si>
    <t>P- Einsatz</t>
  </si>
  <si>
    <t>K- Einsatz</t>
  </si>
  <si>
    <t>Mg- Einsatz</t>
  </si>
  <si>
    <t>P Eintrag</t>
  </si>
  <si>
    <t>K Eintrag</t>
  </si>
  <si>
    <t>Mg Eintrag</t>
  </si>
  <si>
    <t>Mg</t>
  </si>
  <si>
    <t xml:space="preserve">Methanerzeugungspotential </t>
  </si>
  <si>
    <t>P-Einsatz</t>
  </si>
  <si>
    <t>K-Einsatz</t>
  </si>
  <si>
    <t>Mg-Einsatz</t>
  </si>
  <si>
    <t>€/kg</t>
  </si>
  <si>
    <t>€/m³</t>
  </si>
  <si>
    <t xml:space="preserve">      Wirtschaftsdünger</t>
  </si>
  <si>
    <t>m³/a</t>
  </si>
  <si>
    <t>dav. NAWARO-Einsatz</t>
  </si>
  <si>
    <t xml:space="preserve">Biogasgülleanfall </t>
  </si>
  <si>
    <t>Biogasgülleanfall (gerundet)</t>
  </si>
  <si>
    <t>mittlerer TS-Gehalt Substrat</t>
  </si>
  <si>
    <t>TS-Gehalt Biogasgülle</t>
  </si>
  <si>
    <t xml:space="preserve">  Prozent</t>
  </si>
  <si>
    <t xml:space="preserve">      P</t>
  </si>
  <si>
    <t xml:space="preserve">      K</t>
  </si>
  <si>
    <t xml:space="preserve">      Mg</t>
  </si>
  <si>
    <t xml:space="preserve">      N Brutto</t>
  </si>
  <si>
    <t xml:space="preserve">      N anzurechnen</t>
  </si>
  <si>
    <t xml:space="preserve">Nährstoffanfall </t>
  </si>
  <si>
    <t>kg/t</t>
  </si>
  <si>
    <t>Humus C-Gehalt d. Biogasgülle</t>
  </si>
  <si>
    <t>Humus C-Anfall</t>
  </si>
  <si>
    <t>Monate</t>
  </si>
  <si>
    <t>Lagerraumbedarf</t>
  </si>
  <si>
    <t>vorhandener Güllelagerraum</t>
  </si>
  <si>
    <t>NH4-N</t>
  </si>
  <si>
    <t>NH4N %</t>
  </si>
  <si>
    <t>NH4 Anteil</t>
  </si>
  <si>
    <t>???</t>
  </si>
  <si>
    <t>Nährstoffwert der Biogasgülle</t>
  </si>
  <si>
    <t>aus NAWARO</t>
  </si>
  <si>
    <t>mittlerer MethangehaltNAWARO</t>
  </si>
  <si>
    <t xml:space="preserve">   BiogasgewichtNAWARO</t>
  </si>
  <si>
    <t xml:space="preserve">   MasseabbauNAWARO</t>
  </si>
  <si>
    <t>Biogasgülleanfall NAWARO</t>
  </si>
  <si>
    <t>Nährstoffwert aus NAWARO</t>
  </si>
  <si>
    <t xml:space="preserve">      NAWARO-Substrate</t>
  </si>
  <si>
    <t xml:space="preserve">Ausbringungskosten </t>
  </si>
  <si>
    <t>Lagerungskosten</t>
  </si>
  <si>
    <t>Der Düngungsrechner ist für folgende Anwendungsfälle geeignet:</t>
  </si>
  <si>
    <t xml:space="preserve">N </t>
  </si>
  <si>
    <t>3. Getreidekorn</t>
  </si>
  <si>
    <t>Korn (11% RP)</t>
  </si>
  <si>
    <r>
      <t xml:space="preserve">Korn + Stroh </t>
    </r>
    <r>
      <rPr>
        <vertAlign val="superscript"/>
        <sz val="8"/>
        <rFont val="Arial"/>
        <family val="2"/>
      </rPr>
      <t>2)</t>
    </r>
  </si>
  <si>
    <t>Korn (12% RP)</t>
  </si>
  <si>
    <t>Korn (13% RP)</t>
  </si>
  <si>
    <t>Korn (14% RP)</t>
  </si>
  <si>
    <t>Korn (15% RP)</t>
  </si>
  <si>
    <t>Korn (16% RP)</t>
  </si>
  <si>
    <t>Ganzpflanze</t>
  </si>
  <si>
    <t>Tabelle 4: Nährstoffgehalte pflanzlicher Erzeugnisse von Ackerkulturen und Grünland</t>
  </si>
  <si>
    <t>Kultur</t>
  </si>
  <si>
    <t>Ernteprodukt</t>
  </si>
  <si>
    <t>(Rohproteingehalt)</t>
  </si>
  <si>
    <t>TS     in FM</t>
  </si>
  <si>
    <r>
      <t xml:space="preserve">HNV </t>
    </r>
    <r>
      <rPr>
        <vertAlign val="superscript"/>
        <sz val="8"/>
        <rFont val="Arial"/>
        <family val="2"/>
      </rPr>
      <t>1)</t>
    </r>
  </si>
  <si>
    <t>Nährstoffgehalt in kg/dt Frischmasse</t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</si>
  <si>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</si>
  <si>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</si>
  <si>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>Körnerfrüchte</t>
  </si>
  <si>
    <t>Winterweizen</t>
  </si>
  <si>
    <t xml:space="preserve">Wintergerste </t>
  </si>
  <si>
    <t xml:space="preserve">Winterroggen </t>
  </si>
  <si>
    <t xml:space="preserve">Triticale </t>
  </si>
  <si>
    <t xml:space="preserve">Sommerweizen </t>
  </si>
  <si>
    <t xml:space="preserve">Dinkel </t>
  </si>
  <si>
    <t xml:space="preserve">Durumweizen </t>
  </si>
  <si>
    <t>Sommerfuttergerste</t>
  </si>
  <si>
    <t>Braugerste</t>
  </si>
  <si>
    <t>Korn (10% RP)</t>
  </si>
  <si>
    <t xml:space="preserve">Sommerroggen </t>
  </si>
  <si>
    <t xml:space="preserve">Hafer </t>
  </si>
  <si>
    <t xml:space="preserve">Körnermais </t>
  </si>
  <si>
    <t>Einjährige Körnerleguminosen</t>
  </si>
  <si>
    <t xml:space="preserve">Ackerbohne </t>
  </si>
  <si>
    <t>Korn (30% RP)</t>
  </si>
  <si>
    <t xml:space="preserve">Erbse </t>
  </si>
  <si>
    <t>Korn (26% RP)</t>
  </si>
  <si>
    <t xml:space="preserve">Lupine blau </t>
  </si>
  <si>
    <t>Korn (33% RP)</t>
  </si>
  <si>
    <t xml:space="preserve">Lupine weiß </t>
  </si>
  <si>
    <t>Korn (35% RP)</t>
  </si>
  <si>
    <t xml:space="preserve">Lupine gelb </t>
  </si>
  <si>
    <t>Korn (45% RP)</t>
  </si>
  <si>
    <t xml:space="preserve">Wicke </t>
  </si>
  <si>
    <t xml:space="preserve">Linse </t>
  </si>
  <si>
    <t xml:space="preserve">Sojabohne </t>
  </si>
  <si>
    <t>Korn (32% RP)</t>
  </si>
  <si>
    <t>Ölfrüchte</t>
  </si>
  <si>
    <t>Winterraps</t>
  </si>
  <si>
    <t>Korn (23% RP)</t>
  </si>
  <si>
    <t>Sommerraps</t>
  </si>
  <si>
    <t>Sonnenblume</t>
  </si>
  <si>
    <t>Korn (20% RP)</t>
  </si>
  <si>
    <t>Sroh</t>
  </si>
  <si>
    <t>Öllein</t>
  </si>
  <si>
    <t>Korn (25% RP)</t>
  </si>
  <si>
    <t>Senf</t>
  </si>
  <si>
    <t>Leindotter</t>
  </si>
  <si>
    <t>Korn (27% RP)</t>
  </si>
  <si>
    <t>Faserpflanzen</t>
  </si>
  <si>
    <t>Flachs(Faserlein)</t>
  </si>
  <si>
    <t>Hanf(100-150 dt/ha TM)</t>
  </si>
  <si>
    <t>Miscanthus</t>
  </si>
  <si>
    <t>(150-200 dt/ha TM)</t>
  </si>
  <si>
    <t>Hackfrüchte</t>
  </si>
  <si>
    <t>Frühkartoffeln</t>
  </si>
  <si>
    <t>Knollen</t>
  </si>
  <si>
    <t>Kraut</t>
  </si>
  <si>
    <r>
      <t xml:space="preserve">Knollen + Kraut </t>
    </r>
    <r>
      <rPr>
        <vertAlign val="superscript"/>
        <sz val="8"/>
        <rFont val="Arial"/>
        <family val="2"/>
      </rPr>
      <t>2)</t>
    </r>
  </si>
  <si>
    <t>Spätkartoffeln</t>
  </si>
  <si>
    <t>Zuckerrüben</t>
  </si>
  <si>
    <t>Rüben</t>
  </si>
  <si>
    <t>Blatt</t>
  </si>
  <si>
    <r>
      <t xml:space="preserve">Rüben + Blatt </t>
    </r>
    <r>
      <rPr>
        <vertAlign val="superscript"/>
        <sz val="8"/>
        <rFont val="Arial"/>
        <family val="2"/>
      </rPr>
      <t>2)</t>
    </r>
  </si>
  <si>
    <t>Gehaltsrüben</t>
  </si>
  <si>
    <t>Massenrüben</t>
  </si>
  <si>
    <t>Futterpflanzen (Nichtleguminosen)</t>
  </si>
  <si>
    <t xml:space="preserve">Silomais </t>
  </si>
  <si>
    <t>Feldgras</t>
  </si>
  <si>
    <t>Futterraps/ Futterrübsen</t>
  </si>
  <si>
    <t>Senf Futter</t>
  </si>
  <si>
    <t>Futtergetreide</t>
  </si>
  <si>
    <t>Sonnenblume Futter</t>
  </si>
  <si>
    <t>Futterpflanzen (Leguminosen-/Nichtleguminosen-Gemenge)</t>
  </si>
  <si>
    <t>Kleegras 30:70</t>
  </si>
  <si>
    <t>Kleegras 50:50</t>
  </si>
  <si>
    <t>Kleegras 70:30</t>
  </si>
  <si>
    <t>Luzernegras 30:70</t>
  </si>
  <si>
    <t>Luzernegras 50:50</t>
  </si>
  <si>
    <t>Luzernegras 70:30</t>
  </si>
  <si>
    <t>Landsberger Gemenge</t>
  </si>
  <si>
    <t>Futterpflanzen (Leguminosen)</t>
  </si>
  <si>
    <t>Klee &gt; 70 %</t>
  </si>
  <si>
    <t>Luzerne &gt; 70 %</t>
  </si>
  <si>
    <t>Esparsette</t>
  </si>
  <si>
    <t>Serradella</t>
  </si>
  <si>
    <t>Ackerbohne Futter</t>
  </si>
  <si>
    <t>Futtererbse</t>
  </si>
  <si>
    <t>Lupine Futter</t>
  </si>
  <si>
    <t>Wicke Futter</t>
  </si>
  <si>
    <t>Vermehrungspflanzen</t>
  </si>
  <si>
    <t>Grassamenvermehrung</t>
  </si>
  <si>
    <t>Samen</t>
  </si>
  <si>
    <r>
      <t xml:space="preserve">Samen + Stroh </t>
    </r>
    <r>
      <rPr>
        <vertAlign val="superscript"/>
        <sz val="8"/>
        <rFont val="Arial"/>
        <family val="2"/>
      </rPr>
      <t>2)</t>
    </r>
  </si>
  <si>
    <t>Klee-, Luzernevermehrung</t>
  </si>
  <si>
    <t>Futterpflanzen Zwischenfrucht</t>
  </si>
  <si>
    <t>Futterzwischenfrucht</t>
  </si>
  <si>
    <t>Nichtleguminosen</t>
  </si>
  <si>
    <t>Leguminosen</t>
  </si>
  <si>
    <t>Grünland</t>
  </si>
  <si>
    <t>eine Nutzung</t>
  </si>
  <si>
    <t>40 dt/ha TM-Ertrag</t>
  </si>
  <si>
    <t>zwei Nutzungen</t>
  </si>
  <si>
    <t>35 dt/ha TM-Ertrag</t>
  </si>
  <si>
    <t>drei Nutzungen</t>
  </si>
  <si>
    <t>50 dt/ha TM-Ertrag</t>
  </si>
  <si>
    <t>vier Nutzungen</t>
  </si>
  <si>
    <t>65 dt/ha TM-Ertrag</t>
  </si>
  <si>
    <t>Kartoffeln</t>
  </si>
  <si>
    <t>Futterpflanzen</t>
  </si>
  <si>
    <t>Grünland 2schnittig</t>
  </si>
  <si>
    <t>Grünland 3schnittig</t>
  </si>
  <si>
    <t>Grünland 4schnittig</t>
  </si>
  <si>
    <t xml:space="preserve">Sonnenblume </t>
  </si>
  <si>
    <t xml:space="preserve">40% Lagerungs- und Ausbringungsverluste </t>
  </si>
  <si>
    <t>2. Futterpflanzen und Hackfrüchte</t>
  </si>
  <si>
    <r>
      <t>CH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>-Ausbeute</t>
    </r>
  </si>
  <si>
    <r>
      <t>CH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>-Gehalt</t>
    </r>
  </si>
  <si>
    <r>
      <t>CH</t>
    </r>
    <r>
      <rPr>
        <b/>
        <vertAlign val="subscript"/>
        <sz val="8"/>
        <rFont val="Arial"/>
        <family val="2"/>
      </rPr>
      <t>4-</t>
    </r>
    <r>
      <rPr>
        <b/>
        <sz val="8"/>
        <rFont val="Arial"/>
        <family val="2"/>
      </rPr>
      <t>Ausbeute</t>
    </r>
  </si>
  <si>
    <t>Saldo Wert-Kosten für NAWARO</t>
  </si>
  <si>
    <t>M E N U</t>
  </si>
  <si>
    <t xml:space="preserve">Variante:  </t>
  </si>
  <si>
    <t xml:space="preserve"> Bearbeiter: Dr. G. Reinhold </t>
  </si>
  <si>
    <t>START-Seite</t>
  </si>
  <si>
    <t>Gehe zu Blatt:</t>
  </si>
  <si>
    <t>Nutzungsdauer</t>
  </si>
  <si>
    <t>Zinssatz</t>
  </si>
  <si>
    <t>a</t>
  </si>
  <si>
    <t>Lagerungskosten (Annuität)</t>
  </si>
  <si>
    <t>1.1</t>
  </si>
  <si>
    <t>2</t>
  </si>
  <si>
    <t>3</t>
  </si>
  <si>
    <t>4</t>
  </si>
  <si>
    <t>5</t>
  </si>
  <si>
    <t>Herkunftsanteile der Biogasgülle FM</t>
  </si>
  <si>
    <t>Rahmenbedingungen</t>
  </si>
  <si>
    <t>Nährstoffpreise</t>
  </si>
  <si>
    <t>Lagerungs- und Ausbringungskosten</t>
  </si>
  <si>
    <t>ökonomische Bewertung</t>
  </si>
  <si>
    <t>Substrateinsatz und Biogasgülleanfall</t>
  </si>
  <si>
    <t>Inhaltsstoffe der Biogasgülle</t>
  </si>
  <si>
    <t>Applikationskosten</t>
  </si>
  <si>
    <t>Biogasgülle gesamt</t>
  </si>
  <si>
    <t>Nährstoffwert aus WD</t>
  </si>
  <si>
    <t>Saldo Wert-Kosten für WD</t>
  </si>
  <si>
    <t xml:space="preserve">  ProzentNAWARO-Menge</t>
  </si>
  <si>
    <t>1.2</t>
  </si>
  <si>
    <t>geplante Biogasgüllelagerzeit</t>
  </si>
  <si>
    <t>Bewertung des Anteiles aus NAWARO-Einsatz</t>
  </si>
  <si>
    <t>Anfall, Inhaltsstoffe, Kosten und Wert der Biogasgülle</t>
  </si>
  <si>
    <t>(selbst gewählter Begriff zur Unterscheidung der Varianten)</t>
  </si>
  <si>
    <t>Herstellungskosten Güllelager</t>
  </si>
  <si>
    <t>In den Feldern sind in den Kommentaren ergänzende Hinweise usw. enthalten</t>
  </si>
  <si>
    <t>Die Hintergrundfarbe zeigt Ihnen die drei unterschiedlichen Eingabemöglichkeiten in den Zellen:</t>
  </si>
  <si>
    <t xml:space="preserve">Eingabefeld erfordert eine Eingabe zwingend </t>
  </si>
  <si>
    <t xml:space="preserve">      N brutto</t>
  </si>
  <si>
    <t>neu zu errichtender Lagerraum</t>
  </si>
  <si>
    <t xml:space="preserve">% </t>
  </si>
  <si>
    <t xml:space="preserve">Volumenreduzierung auf </t>
  </si>
  <si>
    <t>Stickstoff (N)</t>
  </si>
  <si>
    <t>Phosphor (P)</t>
  </si>
  <si>
    <t>Kalium (K)</t>
  </si>
  <si>
    <t>Magnesium (Mg)</t>
  </si>
  <si>
    <t>Wasserzusatz</t>
  </si>
  <si>
    <t>Bitte zuerst im Blatt "Substrate" die Menge u.TS-Gehalt eintragen</t>
  </si>
  <si>
    <t xml:space="preserve">4. Sonstige Substrate ohne Richtwerte </t>
  </si>
  <si>
    <t>1. Substrateinsatz</t>
  </si>
  <si>
    <t xml:space="preserve">     Bitte geben Sie je Substrat immer Einsatzmengen und TS-Gehalte an </t>
  </si>
  <si>
    <t xml:space="preserve">Luzerne </t>
  </si>
  <si>
    <t>Menge; TS</t>
  </si>
  <si>
    <t xml:space="preserve"> = Variante 1</t>
  </si>
  <si>
    <t>frei wählbar</t>
  </si>
  <si>
    <t>TLL Richtwert</t>
  </si>
  <si>
    <t>Nährstoffgehalte</t>
  </si>
  <si>
    <t>Gasausbeuten</t>
  </si>
  <si>
    <t>Preise, Lagerzeit</t>
  </si>
  <si>
    <t>Variante 1</t>
  </si>
  <si>
    <t xml:space="preserve">Eingabewerte: </t>
  </si>
  <si>
    <t xml:space="preserve"> -  Ermittlung des Biogasgülle-Anfalls unter normierten Bedingungen und überschlägige Ermittlung des Lagerraumbedarfs </t>
  </si>
  <si>
    <t>Feldfarbe erscheint, wenn sie den üblichen Wertebereich bei der Eingabe verlassen</t>
  </si>
  <si>
    <t xml:space="preserve">Hinweise zum Düngungsrechner Biogasgülle </t>
  </si>
  <si>
    <t xml:space="preserve"> -  Abschätzung des Gehaltes der Biogasgülle an Trockensubstanz und Nährstoffen sowie Ermittlung des humuswirksamen Kohlenstoffanfalls </t>
  </si>
  <si>
    <r>
      <t xml:space="preserve">und der neu eingegebene Wert erscheint </t>
    </r>
    <r>
      <rPr>
        <sz val="10"/>
        <color indexed="10"/>
        <rFont val="Arial"/>
        <family val="2"/>
      </rPr>
      <t>rot</t>
    </r>
    <r>
      <rPr>
        <sz val="10"/>
        <rFont val="Arial"/>
        <family val="2"/>
      </rPr>
      <t xml:space="preserve"> auf </t>
    </r>
    <r>
      <rPr>
        <sz val="10"/>
        <color indexed="15"/>
        <rFont val="Arial"/>
        <family val="2"/>
      </rPr>
      <t>blauem Grund</t>
    </r>
  </si>
  <si>
    <t>2. Anfallsmengen und Inhaltsstoffe von Biogasgülle</t>
  </si>
  <si>
    <t>Start</t>
  </si>
  <si>
    <t>WENN(AP36&gt;0;H36*$AR36/$F36;" ")</t>
  </si>
  <si>
    <t>Gärrestlager</t>
  </si>
  <si>
    <t xml:space="preserve">Invest 26 m </t>
  </si>
  <si>
    <t xml:space="preserve">Invest 33 m </t>
  </si>
  <si>
    <t>Abdeckung</t>
  </si>
  <si>
    <t>€/m²</t>
  </si>
  <si>
    <t>Summe</t>
  </si>
  <si>
    <t xml:space="preserve">gerundet </t>
  </si>
  <si>
    <t>Es besteht die Möglichkeit, die betrieblichen Verhältnisse an den Richtwerten zu prüfen und durch einen Plan - IST - Vergleich Effizienzreserven zu erschließen. Durch die freie Wahl  wichtiger Parameter in Variante 1 und freie Gestaltung der Variante 2 ist eine optimale Anpassung an die betrieblichen Gegebenheiten möglich. Basis der Gaserträge bildet das KTBL Heft Nr.88.</t>
  </si>
  <si>
    <t>BGA Musterdorf</t>
  </si>
  <si>
    <t>gewählte Lagerraumgröße</t>
  </si>
  <si>
    <t>Lagerraumbedarf (aufgerundet)</t>
  </si>
  <si>
    <t>Kalkulationstabellen "Substrat" und "Kalkulation" ermöglichen eine Ermittlung des Anfalls und der Inhaltsstoffe der in landwirtschaftlichen Biogasanlagen anfallenden Biogasgülle auf Basis der TLL-Richtwerten bei freier Auswahl der Inhaltsstoffe der Substrate und den KTBL Gaserträgen</t>
  </si>
  <si>
    <t>Flächenbedarf</t>
  </si>
  <si>
    <t>mittlere Gabenhöhe</t>
  </si>
  <si>
    <t>m³/ha</t>
  </si>
  <si>
    <t>Bedarf an Applikationsfläche</t>
  </si>
  <si>
    <t>ha/a</t>
  </si>
  <si>
    <t>Nährstoffgabe</t>
  </si>
  <si>
    <t>kg/ha</t>
  </si>
  <si>
    <t xml:space="preserve">      N (anzurechnen)</t>
  </si>
  <si>
    <t>6</t>
  </si>
  <si>
    <t>6.1</t>
  </si>
  <si>
    <t>6.2</t>
  </si>
  <si>
    <t>6.3</t>
  </si>
  <si>
    <t>Saldo: Wert-Kosten</t>
  </si>
  <si>
    <t>Bewertung des Anteiles aus Wirtschaftsdünger-Einsatz (WD)</t>
  </si>
  <si>
    <t>Gutschrift für die Tierproduktion</t>
  </si>
  <si>
    <t xml:space="preserve">Gutschrift für die BGA </t>
  </si>
  <si>
    <t>bzw.im Substratpreis verrechnet</t>
  </si>
  <si>
    <t xml:space="preserve">angepasster </t>
  </si>
  <si>
    <t>Versionsdatum  1.11.2018</t>
  </si>
  <si>
    <t>Anzurechnde Mindestwerte N nach Abzug der Stall- Lagerungs- u. Aus-bringungsverluste</t>
  </si>
  <si>
    <t xml:space="preserve"> -  Ermittlung des jährlichen Nährstoffanfalls </t>
  </si>
  <si>
    <r>
      <t xml:space="preserve">Die Berechnungen erfolgen über den Substrateinsatz. Im Arbeitsblatt "Substrat" ist zuerst mindestens die Variante 1 mit  Angaben zur </t>
    </r>
    <r>
      <rPr>
        <b/>
        <sz val="10"/>
        <rFont val="Arial"/>
        <family val="2"/>
      </rPr>
      <t>Menge und zum TS-Gehalt erforderlich.</t>
    </r>
    <r>
      <rPr>
        <sz val="10"/>
        <rFont val="Arial"/>
        <family val="2"/>
      </rPr>
      <t xml:space="preserve"> Die Angaben im Richtwert entsprechen in der Substratauswahl der Variante 1. Danach können im Blatt "Kalkulation" die Rahmenbedingungen und in Variante 1 u. 2 die Parameter eingetragen werden. Eine freie Substratauswahl ist nur in Variante 2 möglich und erfordert die vollständige Dateneingabe. Bei Flüssigkeiten wird unterstellt, dass eine Tooe einen Kubikmeter entspricht. </t>
    </r>
  </si>
  <si>
    <t xml:space="preserve">Der Düngungsrechner Biogasgülle ist als Planungs- und Orientierungshilfe zu verstehen. Eine Rechtsverbindlichkeit der Berechnungsergebnisse ist nicht gegeben, so dass jegliche Haftung ausgeschlossen ist. Auf eine betriebsindividuelle, standortangepasste, verfahrenstechnische Auslegung darf auf keinen Fall verzichtet werden. </t>
  </si>
  <si>
    <t xml:space="preserve"> -  Die Nährstoffgehalte der Substrat basieren abweichend von der DüV, auf den TLL Richtwerten.</t>
  </si>
  <si>
    <t>Für die anzurechneden  N-Gehalte sind die ansetzbaren Verluste laut gültiger DüV einzutragen</t>
  </si>
  <si>
    <t>E-Mail: gerd.reinhold@tlllr.thueringen.de</t>
  </si>
  <si>
    <t xml:space="preserve">Tel: (0 36 1) 574041 167 </t>
  </si>
  <si>
    <t xml:space="preserve"> Thüringer Landesamt für Landwirtschaft Ländlichen Raum (TLLLR)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</si>
</sst>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"/>
    <numFmt numFmtId="165" formatCode="0.000"/>
    <numFmt numFmtId="166" formatCode="0.0000"/>
    <numFmt numFmtId="167" formatCode="0.0%"/>
    <numFmt numFmtId="168" formatCode="#,##0.0"/>
  </numFmts>
  <fonts count="5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ScalaSans-Regular"/>
      <family val="2"/>
    </font>
    <font>
      <sz val="10"/>
      <name val="ScalaSans-Bold"/>
      <family val="2"/>
    </font>
    <font>
      <sz val="10"/>
      <name val="ScalaSans-Caps"/>
    </font>
    <font>
      <b/>
      <sz val="10"/>
      <name val="ScalaSans-Bold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0"/>
      <color indexed="6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i/>
      <sz val="11"/>
      <color indexed="56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8"/>
      <name val="ScalaSans-Regular"/>
      <family val="2"/>
    </font>
    <font>
      <sz val="10"/>
      <color indexed="15"/>
      <name val="Arial"/>
      <family val="2"/>
    </font>
    <font>
      <sz val="9"/>
      <name val="Arial"/>
      <family val="2"/>
    </font>
    <font>
      <b/>
      <sz val="11"/>
      <color indexed="62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u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4"/>
      <color indexed="12"/>
      <name val="Arial"/>
      <family val="2"/>
    </font>
    <font>
      <b/>
      <i/>
      <sz val="9"/>
      <name val="Arial"/>
      <family val="2"/>
    </font>
    <font>
      <b/>
      <sz val="12"/>
      <color indexed="18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9"/>
      </patternFill>
    </fill>
    <fill>
      <patternFill patternType="darkUp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darkGray">
        <fgColor indexed="51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26"/>
        <bgColor indexed="9"/>
      </patternFill>
    </fill>
    <fill>
      <patternFill patternType="mediumGray">
        <fgColor indexed="22"/>
        <bgColor indexed="41"/>
      </patternFill>
    </fill>
    <fill>
      <patternFill patternType="mediumGray">
        <fgColor indexed="22"/>
        <bgColor indexed="42"/>
      </patternFill>
    </fill>
    <fill>
      <patternFill patternType="solid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42"/>
      </patternFill>
    </fill>
    <fill>
      <patternFill patternType="lightGray">
        <fgColor indexed="4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89C1"/>
        <bgColor indexed="64"/>
      </patternFill>
    </fill>
  </fills>
  <borders count="1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indexed="58"/>
      </right>
      <top style="mediumDashed">
        <color indexed="58"/>
      </top>
      <bottom style="mediumDashed">
        <color indexed="58"/>
      </bottom>
      <diagonal/>
    </border>
    <border>
      <left style="mediumDashed">
        <color indexed="58"/>
      </left>
      <right/>
      <top style="mediumDashed">
        <color indexed="58"/>
      </top>
      <bottom style="mediumDashed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Dashed">
        <color indexed="58"/>
      </right>
      <top/>
      <bottom style="mediumDashed">
        <color indexed="58"/>
      </bottom>
      <diagonal/>
    </border>
    <border>
      <left/>
      <right style="thin">
        <color indexed="64"/>
      </right>
      <top/>
      <bottom style="mediumDashed">
        <color indexed="5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/>
      <top style="hair">
        <color indexed="17"/>
      </top>
      <bottom/>
      <diagonal/>
    </border>
    <border>
      <left/>
      <right/>
      <top/>
      <bottom style="hair">
        <color indexed="17"/>
      </bottom>
      <diagonal/>
    </border>
    <border>
      <left/>
      <right style="thick">
        <color indexed="22"/>
      </right>
      <top/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58"/>
      </right>
      <top style="mediumDashed">
        <color indexed="58"/>
      </top>
      <bottom style="mediumDashed">
        <color indexed="58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7">
    <xf numFmtId="0" fontId="0" fillId="0" borderId="0" xfId="0"/>
    <xf numFmtId="0" fontId="0" fillId="0" borderId="0" xfId="0" applyAlignment="1"/>
    <xf numFmtId="9" fontId="5" fillId="2" borderId="3" xfId="3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/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9" fillId="0" borderId="0" xfId="0" applyFont="1" applyAlignment="1"/>
    <xf numFmtId="0" fontId="10" fillId="0" borderId="0" xfId="0" applyFont="1"/>
    <xf numFmtId="167" fontId="0" fillId="4" borderId="4" xfId="0" applyNumberFormat="1" applyFill="1" applyBorder="1" applyAlignment="1">
      <alignment horizontal="center"/>
    </xf>
    <xf numFmtId="1" fontId="11" fillId="5" borderId="0" xfId="0" applyNumberFormat="1" applyFont="1" applyFill="1" applyAlignment="1" applyProtection="1">
      <alignment horizontal="left"/>
    </xf>
    <xf numFmtId="1" fontId="11" fillId="5" borderId="0" xfId="0" applyNumberFormat="1" applyFont="1" applyFill="1" applyAlignment="1" applyProtection="1">
      <alignment horizontal="center"/>
    </xf>
    <xf numFmtId="0" fontId="0" fillId="0" borderId="0" xfId="0" applyBorder="1" applyAlignment="1"/>
    <xf numFmtId="165" fontId="0" fillId="0" borderId="0" xfId="0" applyNumberFormat="1"/>
    <xf numFmtId="0" fontId="9" fillId="2" borderId="4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/>
    </xf>
    <xf numFmtId="0" fontId="0" fillId="6" borderId="11" xfId="0" applyFill="1" applyBorder="1"/>
    <xf numFmtId="0" fontId="0" fillId="6" borderId="0" xfId="0" applyFill="1" applyBorder="1"/>
    <xf numFmtId="0" fontId="0" fillId="6" borderId="12" xfId="0" applyFill="1" applyBorder="1"/>
    <xf numFmtId="0" fontId="16" fillId="6" borderId="0" xfId="0" applyFont="1" applyFill="1" applyBorder="1"/>
    <xf numFmtId="0" fontId="9" fillId="6" borderId="11" xfId="0" applyFont="1" applyFill="1" applyBorder="1" applyAlignment="1">
      <alignment vertical="center"/>
    </xf>
    <xf numFmtId="0" fontId="17" fillId="6" borderId="12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right"/>
    </xf>
    <xf numFmtId="0" fontId="0" fillId="6" borderId="13" xfId="0" applyFill="1" applyBorder="1"/>
    <xf numFmtId="0" fontId="0" fillId="6" borderId="10" xfId="0" applyFill="1" applyBorder="1"/>
    <xf numFmtId="0" fontId="0" fillId="6" borderId="3" xfId="0" applyFill="1" applyBorder="1"/>
    <xf numFmtId="0" fontId="9" fillId="7" borderId="14" xfId="0" applyFont="1" applyFill="1" applyBorder="1" applyAlignment="1" applyProtection="1">
      <alignment horizontal="center"/>
    </xf>
    <xf numFmtId="0" fontId="10" fillId="0" borderId="0" xfId="0" applyFont="1" applyAlignment="1"/>
    <xf numFmtId="0" fontId="9" fillId="8" borderId="15" xfId="0" applyFont="1" applyFill="1" applyBorder="1" applyAlignment="1">
      <alignment vertical="top"/>
    </xf>
    <xf numFmtId="0" fontId="9" fillId="8" borderId="5" xfId="0" applyFont="1" applyFill="1" applyBorder="1" applyAlignment="1">
      <alignment horizontal="justify" vertical="top"/>
    </xf>
    <xf numFmtId="0" fontId="9" fillId="8" borderId="13" xfId="0" applyFont="1" applyFill="1" applyBorder="1" applyAlignment="1">
      <alignment horizontal="justify" vertical="top"/>
    </xf>
    <xf numFmtId="0" fontId="9" fillId="8" borderId="15" xfId="0" applyFont="1" applyFill="1" applyBorder="1" applyAlignment="1">
      <alignment horizontal="left" vertical="top" wrapText="1"/>
    </xf>
    <xf numFmtId="0" fontId="9" fillId="8" borderId="6" xfId="0" applyFont="1" applyFill="1" applyBorder="1" applyAlignment="1">
      <alignment horizontal="justify" vertical="top"/>
    </xf>
    <xf numFmtId="0" fontId="9" fillId="8" borderId="4" xfId="0" applyNumberFormat="1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 vertical="top"/>
    </xf>
    <xf numFmtId="0" fontId="9" fillId="8" borderId="6" xfId="0" applyFont="1" applyFill="1" applyBorder="1" applyAlignment="1">
      <alignment horizontal="center" vertical="top"/>
    </xf>
    <xf numFmtId="0" fontId="9" fillId="8" borderId="6" xfId="0" applyFont="1" applyFill="1" applyBorder="1" applyAlignment="1">
      <alignment horizontal="center" vertical="top" wrapText="1"/>
    </xf>
    <xf numFmtId="0" fontId="9" fillId="8" borderId="15" xfId="0" applyFont="1" applyFill="1" applyBorder="1" applyAlignment="1">
      <alignment horizontal="center" vertical="top" wrapText="1"/>
    </xf>
    <xf numFmtId="0" fontId="9" fillId="8" borderId="4" xfId="0" applyFont="1" applyFill="1" applyBorder="1" applyAlignment="1">
      <alignment horizontal="center" vertical="top" wrapText="1"/>
    </xf>
    <xf numFmtId="0" fontId="9" fillId="8" borderId="3" xfId="0" applyFont="1" applyFill="1" applyBorder="1" applyAlignment="1">
      <alignment horizontal="justify" vertical="top"/>
    </xf>
    <xf numFmtId="0" fontId="9" fillId="8" borderId="16" xfId="0" applyNumberFormat="1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 vertical="top"/>
    </xf>
    <xf numFmtId="0" fontId="9" fillId="8" borderId="12" xfId="0" applyFont="1" applyFill="1" applyBorder="1" applyAlignment="1">
      <alignment horizontal="center" vertical="top"/>
    </xf>
    <xf numFmtId="0" fontId="10" fillId="9" borderId="4" xfId="0" applyFont="1" applyFill="1" applyBorder="1" applyAlignment="1">
      <alignment vertical="top"/>
    </xf>
    <xf numFmtId="0" fontId="10" fillId="9" borderId="15" xfId="0" applyFont="1" applyFill="1" applyBorder="1" applyAlignment="1">
      <alignment horizontal="left" vertical="top"/>
    </xf>
    <xf numFmtId="0" fontId="10" fillId="9" borderId="6" xfId="0" applyFont="1" applyFill="1" applyBorder="1" applyAlignment="1">
      <alignment horizontal="left" vertical="top"/>
    </xf>
    <xf numFmtId="9" fontId="10" fillId="9" borderId="3" xfId="3" applyFont="1" applyFill="1" applyBorder="1" applyAlignment="1">
      <alignment horizontal="center" vertical="top"/>
    </xf>
    <xf numFmtId="0" fontId="10" fillId="9" borderId="3" xfId="0" applyFont="1" applyFill="1" applyBorder="1" applyAlignment="1">
      <alignment horizontal="center"/>
    </xf>
    <xf numFmtId="0" fontId="10" fillId="10" borderId="4" xfId="0" applyFont="1" applyFill="1" applyBorder="1" applyAlignment="1">
      <alignment horizontal="center" vertical="top" wrapText="1"/>
    </xf>
    <xf numFmtId="9" fontId="10" fillId="10" borderId="4" xfId="3" applyFont="1" applyFill="1" applyBorder="1" applyAlignment="1">
      <alignment horizontal="center" vertical="top" wrapText="1"/>
    </xf>
    <xf numFmtId="0" fontId="10" fillId="9" borderId="16" xfId="0" applyFont="1" applyFill="1" applyBorder="1" applyAlignment="1">
      <alignment vertical="top"/>
    </xf>
    <xf numFmtId="9" fontId="10" fillId="9" borderId="4" xfId="3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left" vertical="top"/>
    </xf>
    <xf numFmtId="0" fontId="10" fillId="8" borderId="4" xfId="0" applyFont="1" applyFill="1" applyBorder="1" applyAlignment="1">
      <alignment horizontal="left" vertical="top" wrapText="1"/>
    </xf>
    <xf numFmtId="0" fontId="10" fillId="9" borderId="3" xfId="0" applyFont="1" applyFill="1" applyBorder="1" applyAlignment="1">
      <alignment horizontal="left" vertical="top"/>
    </xf>
    <xf numFmtId="9" fontId="10" fillId="9" borderId="16" xfId="3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 vertical="top"/>
    </xf>
    <xf numFmtId="0" fontId="9" fillId="8" borderId="4" xfId="0" applyFont="1" applyFill="1" applyBorder="1" applyAlignment="1">
      <alignment horizontal="center" vertical="top"/>
    </xf>
    <xf numFmtId="0" fontId="10" fillId="2" borderId="4" xfId="0" applyFont="1" applyFill="1" applyBorder="1" applyAlignment="1"/>
    <xf numFmtId="0" fontId="10" fillId="2" borderId="15" xfId="0" applyFont="1" applyFill="1" applyBorder="1" applyAlignment="1"/>
    <xf numFmtId="1" fontId="10" fillId="0" borderId="0" xfId="0" applyNumberFormat="1" applyFont="1" applyBorder="1" applyAlignment="1"/>
    <xf numFmtId="1" fontId="10" fillId="0" borderId="0" xfId="0" applyNumberFormat="1" applyFont="1" applyBorder="1" applyAlignment="1">
      <alignment horizontal="center"/>
    </xf>
    <xf numFmtId="0" fontId="10" fillId="7" borderId="14" xfId="0" applyFont="1" applyFill="1" applyBorder="1" applyAlignment="1">
      <alignment vertical="center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2" fontId="10" fillId="11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11" borderId="17" xfId="0" applyFont="1" applyFill="1" applyBorder="1" applyAlignment="1" applyProtection="1">
      <alignment horizontal="center" vertical="center" wrapText="1"/>
      <protection locked="0"/>
    </xf>
    <xf numFmtId="9" fontId="10" fillId="11" borderId="18" xfId="3" applyFont="1" applyFill="1" applyBorder="1" applyAlignment="1" applyProtection="1">
      <alignment horizontal="center" vertical="center" wrapText="1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>
      <alignment horizontal="center" vertical="center"/>
    </xf>
    <xf numFmtId="0" fontId="10" fillId="9" borderId="5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9" fontId="0" fillId="0" borderId="3" xfId="3" applyFont="1" applyFill="1" applyBorder="1" applyAlignment="1">
      <alignment horizontal="center" vertical="center"/>
    </xf>
    <xf numFmtId="0" fontId="5" fillId="2" borderId="3" xfId="3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10" fillId="2" borderId="3" xfId="3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9" fontId="0" fillId="0" borderId="4" xfId="3" applyFont="1" applyBorder="1" applyAlignment="1">
      <alignment horizontal="center" vertical="center"/>
    </xf>
    <xf numFmtId="0" fontId="20" fillId="0" borderId="0" xfId="0" applyFont="1"/>
    <xf numFmtId="9" fontId="10" fillId="0" borderId="3" xfId="3" applyFont="1" applyFill="1" applyBorder="1" applyAlignment="1" applyProtection="1">
      <alignment horizontal="center" vertical="top"/>
      <protection locked="0"/>
    </xf>
    <xf numFmtId="164" fontId="0" fillId="4" borderId="4" xfId="0" applyNumberFormat="1" applyFill="1" applyBorder="1" applyAlignment="1" applyProtection="1">
      <alignment horizontal="center"/>
    </xf>
    <xf numFmtId="167" fontId="0" fillId="4" borderId="4" xfId="0" applyNumberFormat="1" applyFill="1" applyBorder="1" applyAlignment="1" applyProtection="1">
      <alignment horizontal="center"/>
    </xf>
    <xf numFmtId="0" fontId="10" fillId="6" borderId="0" xfId="0" applyFont="1" applyFill="1" applyAlignment="1" applyProtection="1">
      <alignment vertical="top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7" borderId="19" xfId="0" applyFont="1" applyFill="1" applyBorder="1" applyAlignment="1" applyProtection="1">
      <alignment horizontal="center" vertical="center"/>
    </xf>
    <xf numFmtId="0" fontId="22" fillId="6" borderId="20" xfId="0" applyFont="1" applyFill="1" applyBorder="1" applyAlignment="1" applyProtection="1">
      <alignment horizontal="left" vertical="top"/>
    </xf>
    <xf numFmtId="166" fontId="0" fillId="0" borderId="0" xfId="0" applyNumberFormat="1" applyAlignment="1"/>
    <xf numFmtId="0" fontId="9" fillId="7" borderId="19" xfId="0" applyFont="1" applyFill="1" applyBorder="1" applyAlignment="1" applyProtection="1">
      <alignment vertical="center"/>
    </xf>
    <xf numFmtId="1" fontId="11" fillId="5" borderId="0" xfId="0" applyNumberFormat="1" applyFont="1" applyFill="1" applyBorder="1" applyAlignment="1" applyProtection="1">
      <alignment horizontal="left"/>
    </xf>
    <xf numFmtId="0" fontId="0" fillId="0" borderId="0" xfId="0" applyBorder="1"/>
    <xf numFmtId="9" fontId="0" fillId="4" borderId="4" xfId="3" applyFont="1" applyFill="1" applyBorder="1" applyAlignment="1" applyProtection="1">
      <alignment horizontal="center"/>
    </xf>
    <xf numFmtId="0" fontId="16" fillId="0" borderId="0" xfId="0" applyFont="1"/>
    <xf numFmtId="0" fontId="25" fillId="0" borderId="0" xfId="0" applyFont="1"/>
    <xf numFmtId="0" fontId="16" fillId="0" borderId="6" xfId="0" applyFont="1" applyBorder="1" applyAlignment="1">
      <alignment vertical="top" wrapText="1"/>
    </xf>
    <xf numFmtId="0" fontId="24" fillId="0" borderId="0" xfId="0" applyFont="1"/>
    <xf numFmtId="0" fontId="16" fillId="0" borderId="3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0" fillId="4" borderId="0" xfId="0" applyFill="1" applyBorder="1"/>
    <xf numFmtId="0" fontId="16" fillId="4" borderId="3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center"/>
    </xf>
    <xf numFmtId="3" fontId="0" fillId="4" borderId="4" xfId="0" applyNumberFormat="1" applyFill="1" applyBorder="1" applyAlignment="1" applyProtection="1">
      <alignment horizontal="center"/>
    </xf>
    <xf numFmtId="2" fontId="0" fillId="4" borderId="4" xfId="3" applyNumberFormat="1" applyFont="1" applyFill="1" applyBorder="1" applyAlignment="1" applyProtection="1">
      <alignment horizontal="center"/>
    </xf>
    <xf numFmtId="0" fontId="16" fillId="4" borderId="0" xfId="0" applyFont="1" applyFill="1" applyBorder="1" applyAlignment="1">
      <alignment vertical="top" wrapText="1"/>
    </xf>
    <xf numFmtId="9" fontId="16" fillId="0" borderId="0" xfId="3" applyFont="1" applyBorder="1" applyAlignment="1">
      <alignment vertical="top" wrapText="1"/>
    </xf>
    <xf numFmtId="1" fontId="26" fillId="5" borderId="0" xfId="0" applyNumberFormat="1" applyFont="1" applyFill="1" applyAlignment="1" applyProtection="1">
      <alignment horizontal="left"/>
    </xf>
    <xf numFmtId="0" fontId="0" fillId="0" borderId="0" xfId="0" applyFill="1" applyBorder="1"/>
    <xf numFmtId="0" fontId="16" fillId="0" borderId="3" xfId="0" applyFont="1" applyFill="1" applyBorder="1" applyAlignment="1">
      <alignment vertical="top" wrapText="1"/>
    </xf>
    <xf numFmtId="9" fontId="16" fillId="0" borderId="0" xfId="3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9" fontId="0" fillId="0" borderId="0" xfId="3" applyFont="1"/>
    <xf numFmtId="9" fontId="16" fillId="0" borderId="0" xfId="3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16" xfId="0" applyNumberFormat="1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8" borderId="14" xfId="0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5" xfId="0" applyFont="1" applyFill="1" applyBorder="1" applyAlignment="1">
      <alignment vertical="center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/>
    </xf>
    <xf numFmtId="0" fontId="10" fillId="0" borderId="3" xfId="3" applyNumberFormat="1" applyFont="1" applyFill="1" applyBorder="1" applyAlignment="1" applyProtection="1">
      <alignment horizontal="center" vertical="center"/>
      <protection locked="0"/>
    </xf>
    <xf numFmtId="9" fontId="10" fillId="10" borderId="4" xfId="3" applyFont="1" applyFill="1" applyBorder="1" applyAlignment="1">
      <alignment horizontal="center" vertical="center" wrapText="1"/>
    </xf>
    <xf numFmtId="9" fontId="10" fillId="9" borderId="3" xfId="3" applyFont="1" applyFill="1" applyBorder="1" applyAlignment="1">
      <alignment horizontal="center" vertical="center"/>
    </xf>
    <xf numFmtId="164" fontId="10" fillId="9" borderId="5" xfId="0" applyNumberFormat="1" applyFont="1" applyFill="1" applyBorder="1" applyAlignment="1" applyProtection="1">
      <alignment vertical="center"/>
      <protection locked="0"/>
    </xf>
    <xf numFmtId="167" fontId="10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9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4" xfId="0" applyNumberFormat="1" applyBorder="1" applyAlignment="1">
      <alignment vertical="center"/>
    </xf>
    <xf numFmtId="1" fontId="10" fillId="0" borderId="4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0" fontId="16" fillId="0" borderId="21" xfId="0" applyFont="1" applyBorder="1" applyAlignment="1">
      <alignment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20" fontId="16" fillId="0" borderId="27" xfId="0" applyNumberFormat="1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30" fillId="0" borderId="29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center" vertical="top" wrapText="1"/>
    </xf>
    <xf numFmtId="0" fontId="16" fillId="0" borderId="8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16" fillId="0" borderId="3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30" fillId="0" borderId="31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1" fontId="10" fillId="12" borderId="3" xfId="0" applyNumberFormat="1" applyFont="1" applyFill="1" applyBorder="1" applyAlignment="1">
      <alignment horizontal="center" vertical="top"/>
    </xf>
    <xf numFmtId="0" fontId="30" fillId="0" borderId="32" xfId="0" applyFont="1" applyBorder="1" applyAlignment="1">
      <alignment vertical="top" wrapText="1"/>
    </xf>
    <xf numFmtId="0" fontId="16" fillId="0" borderId="4" xfId="0" applyFont="1" applyBorder="1" applyAlignment="1">
      <alignment vertical="top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30" fillId="0" borderId="4" xfId="0" applyFont="1" applyBorder="1" applyAlignment="1">
      <alignment vertical="top"/>
    </xf>
    <xf numFmtId="0" fontId="27" fillId="0" borderId="4" xfId="0" applyFont="1" applyBorder="1" applyAlignment="1">
      <alignment vertical="top"/>
    </xf>
    <xf numFmtId="9" fontId="16" fillId="0" borderId="4" xfId="0" applyNumberFormat="1" applyFont="1" applyBorder="1" applyAlignment="1">
      <alignment vertical="top"/>
    </xf>
    <xf numFmtId="0" fontId="27" fillId="0" borderId="4" xfId="0" applyFont="1" applyBorder="1" applyAlignment="1">
      <alignment horizontal="center" vertical="top"/>
    </xf>
    <xf numFmtId="9" fontId="16" fillId="0" borderId="4" xfId="3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/>
    </xf>
    <xf numFmtId="164" fontId="16" fillId="12" borderId="0" xfId="0" applyNumberFormat="1" applyFont="1" applyFill="1" applyAlignment="1">
      <alignment horizontal="center"/>
    </xf>
    <xf numFmtId="1" fontId="0" fillId="9" borderId="4" xfId="0" applyNumberFormat="1" applyFill="1" applyBorder="1" applyAlignment="1" applyProtection="1">
      <alignment horizontal="center" vertical="center"/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1" fontId="10" fillId="9" borderId="4" xfId="0" applyNumberFormat="1" applyFont="1" applyFill="1" applyBorder="1" applyAlignment="1">
      <alignment horizontal="center" vertical="center"/>
    </xf>
    <xf numFmtId="0" fontId="10" fillId="9" borderId="4" xfId="0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left" vertical="top" wrapText="1"/>
    </xf>
    <xf numFmtId="0" fontId="30" fillId="8" borderId="6" xfId="0" applyFont="1" applyFill="1" applyBorder="1" applyAlignment="1">
      <alignment horizontal="justify" vertical="top"/>
    </xf>
    <xf numFmtId="0" fontId="30" fillId="8" borderId="4" xfId="0" applyNumberFormat="1" applyFont="1" applyFill="1" applyBorder="1" applyAlignment="1">
      <alignment horizontal="center"/>
    </xf>
    <xf numFmtId="0" fontId="30" fillId="8" borderId="15" xfId="0" applyFont="1" applyFill="1" applyBorder="1" applyAlignment="1">
      <alignment horizontal="center"/>
    </xf>
    <xf numFmtId="0" fontId="30" fillId="8" borderId="6" xfId="0" applyFont="1" applyFill="1" applyBorder="1" applyAlignment="1">
      <alignment horizontal="center" vertical="top"/>
    </xf>
    <xf numFmtId="0" fontId="30" fillId="8" borderId="6" xfId="0" applyFont="1" applyFill="1" applyBorder="1" applyAlignment="1">
      <alignment horizontal="center" vertical="top" wrapText="1"/>
    </xf>
    <xf numFmtId="0" fontId="30" fillId="8" borderId="6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horizontal="center" vertical="center" wrapText="1"/>
    </xf>
    <xf numFmtId="0" fontId="32" fillId="8" borderId="6" xfId="0" applyFont="1" applyFill="1" applyBorder="1" applyAlignment="1">
      <alignment horizontal="center" vertical="center" wrapText="1"/>
    </xf>
    <xf numFmtId="0" fontId="32" fillId="8" borderId="15" xfId="0" applyFont="1" applyFill="1" applyBorder="1" applyAlignment="1">
      <alignment horizontal="center" vertical="center" wrapText="1"/>
    </xf>
    <xf numFmtId="0" fontId="32" fillId="8" borderId="11" xfId="0" applyFont="1" applyFill="1" applyBorder="1" applyAlignment="1">
      <alignment horizontal="center" vertical="center" wrapText="1"/>
    </xf>
    <xf numFmtId="0" fontId="0" fillId="6" borderId="0" xfId="0" applyFill="1"/>
    <xf numFmtId="0" fontId="23" fillId="6" borderId="0" xfId="0" applyFont="1" applyFill="1" applyAlignment="1"/>
    <xf numFmtId="1" fontId="11" fillId="6" borderId="0" xfId="0" applyNumberFormat="1" applyFont="1" applyFill="1" applyAlignment="1" applyProtection="1">
      <alignment horizontal="left"/>
    </xf>
    <xf numFmtId="1" fontId="11" fillId="6" borderId="0" xfId="0" applyNumberFormat="1" applyFont="1" applyFill="1" applyAlignment="1" applyProtection="1">
      <alignment horizontal="center"/>
    </xf>
    <xf numFmtId="1" fontId="26" fillId="6" borderId="0" xfId="0" applyNumberFormat="1" applyFont="1" applyFill="1" applyAlignment="1" applyProtection="1">
      <alignment horizontal="left"/>
    </xf>
    <xf numFmtId="0" fontId="14" fillId="6" borderId="0" xfId="2" applyFont="1" applyFill="1" applyBorder="1" applyAlignment="1" applyProtection="1">
      <alignment horizontal="center" vertical="center"/>
    </xf>
    <xf numFmtId="2" fontId="11" fillId="6" borderId="0" xfId="0" applyNumberFormat="1" applyFont="1" applyFill="1" applyAlignment="1" applyProtection="1">
      <alignment horizontal="center"/>
    </xf>
    <xf numFmtId="165" fontId="11" fillId="6" borderId="0" xfId="0" applyNumberFormat="1" applyFont="1" applyFill="1" applyAlignment="1" applyProtection="1">
      <alignment horizontal="center"/>
    </xf>
    <xf numFmtId="49" fontId="37" fillId="13" borderId="5" xfId="0" applyNumberFormat="1" applyFont="1" applyFill="1" applyBorder="1" applyAlignment="1" applyProtection="1">
      <alignment vertical="center"/>
    </xf>
    <xf numFmtId="0" fontId="10" fillId="2" borderId="5" xfId="0" applyFont="1" applyFill="1" applyBorder="1" applyAlignment="1">
      <alignment horizontal="center" vertical="center"/>
    </xf>
    <xf numFmtId="0" fontId="34" fillId="14" borderId="33" xfId="0" applyFont="1" applyFill="1" applyBorder="1" applyAlignment="1" applyProtection="1">
      <alignment horizontal="left"/>
    </xf>
    <xf numFmtId="0" fontId="16" fillId="6" borderId="10" xfId="0" applyFont="1" applyFill="1" applyBorder="1"/>
    <xf numFmtId="0" fontId="0" fillId="6" borderId="0" xfId="0" applyFill="1" applyProtection="1">
      <protection locked="0"/>
    </xf>
    <xf numFmtId="0" fontId="9" fillId="6" borderId="0" xfId="0" applyFont="1" applyFill="1" applyAlignment="1" applyProtection="1">
      <alignment vertical="center"/>
      <protection locked="0"/>
    </xf>
    <xf numFmtId="9" fontId="10" fillId="15" borderId="34" xfId="3" applyFont="1" applyFill="1" applyBorder="1" applyAlignment="1" applyProtection="1">
      <alignment horizontal="center" vertical="center" wrapText="1"/>
      <protection locked="0"/>
    </xf>
    <xf numFmtId="2" fontId="10" fillId="15" borderId="34" xfId="0" applyNumberFormat="1" applyFont="1" applyFill="1" applyBorder="1" applyAlignment="1" applyProtection="1">
      <alignment horizontal="center" vertical="center" wrapText="1"/>
      <protection locked="0"/>
    </xf>
    <xf numFmtId="9" fontId="10" fillId="15" borderId="35" xfId="3" applyFont="1" applyFill="1" applyBorder="1" applyAlignment="1" applyProtection="1">
      <alignment horizontal="center" vertical="center" wrapText="1"/>
      <protection locked="0"/>
    </xf>
    <xf numFmtId="0" fontId="10" fillId="9" borderId="7" xfId="0" applyFont="1" applyFill="1" applyBorder="1" applyAlignment="1">
      <alignment horizontal="center" vertical="center"/>
    </xf>
    <xf numFmtId="0" fontId="34" fillId="14" borderId="0" xfId="0" applyFont="1" applyFill="1" applyBorder="1" applyAlignment="1" applyProtection="1">
      <alignment horizontal="left"/>
    </xf>
    <xf numFmtId="0" fontId="2" fillId="14" borderId="0" xfId="0" applyFont="1" applyFill="1" applyBorder="1" applyAlignment="1" applyProtection="1">
      <alignment horizontal="left"/>
    </xf>
    <xf numFmtId="0" fontId="0" fillId="8" borderId="12" xfId="0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horizontal="left" vertical="top"/>
    </xf>
    <xf numFmtId="9" fontId="10" fillId="9" borderId="1" xfId="3" applyFont="1" applyFill="1" applyBorder="1" applyAlignment="1">
      <alignment horizontal="center" vertical="top"/>
    </xf>
    <xf numFmtId="0" fontId="10" fillId="9" borderId="1" xfId="0" applyFont="1" applyFill="1" applyBorder="1" applyAlignment="1">
      <alignment horizontal="center"/>
    </xf>
    <xf numFmtId="9" fontId="10" fillId="9" borderId="1" xfId="3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 vertical="top" wrapText="1"/>
    </xf>
    <xf numFmtId="0" fontId="10" fillId="9" borderId="1" xfId="0" applyFont="1" applyFill="1" applyBorder="1" applyAlignment="1">
      <alignment vertical="top"/>
    </xf>
    <xf numFmtId="0" fontId="10" fillId="12" borderId="36" xfId="0" applyFont="1" applyFill="1" applyBorder="1" applyAlignment="1">
      <alignment vertical="top"/>
    </xf>
    <xf numFmtId="0" fontId="10" fillId="12" borderId="37" xfId="0" applyFont="1" applyFill="1" applyBorder="1" applyAlignment="1">
      <alignment horizontal="left" vertical="top"/>
    </xf>
    <xf numFmtId="0" fontId="10" fillId="12" borderId="37" xfId="0" applyFont="1" applyFill="1" applyBorder="1" applyAlignment="1">
      <alignment vertical="top"/>
    </xf>
    <xf numFmtId="9" fontId="10" fillId="9" borderId="37" xfId="3" applyFont="1" applyFill="1" applyBorder="1" applyAlignment="1">
      <alignment horizontal="center" vertical="top"/>
    </xf>
    <xf numFmtId="0" fontId="10" fillId="9" borderId="37" xfId="0" applyFont="1" applyFill="1" applyBorder="1" applyAlignment="1">
      <alignment horizontal="center"/>
    </xf>
    <xf numFmtId="9" fontId="10" fillId="9" borderId="37" xfId="3" applyFont="1" applyFill="1" applyBorder="1" applyAlignment="1">
      <alignment horizontal="center"/>
    </xf>
    <xf numFmtId="0" fontId="10" fillId="10" borderId="37" xfId="0" applyFont="1" applyFill="1" applyBorder="1" applyAlignment="1">
      <alignment horizontal="center" vertical="top" wrapText="1"/>
    </xf>
    <xf numFmtId="0" fontId="10" fillId="12" borderId="38" xfId="0" applyFont="1" applyFill="1" applyBorder="1" applyAlignment="1">
      <alignment vertical="top"/>
    </xf>
    <xf numFmtId="0" fontId="10" fillId="9" borderId="38" xfId="0" applyFont="1" applyFill="1" applyBorder="1" applyAlignment="1">
      <alignment vertical="top"/>
    </xf>
    <xf numFmtId="9" fontId="10" fillId="9" borderId="39" xfId="3" applyFont="1" applyFill="1" applyBorder="1" applyAlignment="1">
      <alignment horizontal="center" vertical="top"/>
    </xf>
    <xf numFmtId="0" fontId="10" fillId="9" borderId="39" xfId="0" applyFont="1" applyFill="1" applyBorder="1" applyAlignment="1">
      <alignment horizontal="center"/>
    </xf>
    <xf numFmtId="0" fontId="10" fillId="10" borderId="39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/>
    </xf>
    <xf numFmtId="0" fontId="10" fillId="12" borderId="40" xfId="0" applyFont="1" applyFill="1" applyBorder="1" applyAlignment="1">
      <alignment horizontal="left" vertical="top"/>
    </xf>
    <xf numFmtId="9" fontId="10" fillId="12" borderId="40" xfId="3" applyFont="1" applyFill="1" applyBorder="1" applyAlignment="1">
      <alignment horizontal="center" vertical="top"/>
    </xf>
    <xf numFmtId="0" fontId="10" fillId="12" borderId="40" xfId="0" applyFont="1" applyFill="1" applyBorder="1" applyAlignment="1">
      <alignment horizontal="center"/>
    </xf>
    <xf numFmtId="0" fontId="10" fillId="10" borderId="40" xfId="0" applyFont="1" applyFill="1" applyBorder="1" applyAlignment="1">
      <alignment horizontal="center" vertical="top" wrapText="1"/>
    </xf>
    <xf numFmtId="9" fontId="10" fillId="12" borderId="1" xfId="3" applyFont="1" applyFill="1" applyBorder="1" applyAlignment="1">
      <alignment horizontal="center" vertical="top"/>
    </xf>
    <xf numFmtId="0" fontId="10" fillId="12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 vertical="top"/>
    </xf>
    <xf numFmtId="9" fontId="10" fillId="12" borderId="37" xfId="3" applyFont="1" applyFill="1" applyBorder="1" applyAlignment="1">
      <alignment horizontal="center" vertical="top"/>
    </xf>
    <xf numFmtId="0" fontId="10" fillId="12" borderId="37" xfId="0" applyFont="1" applyFill="1" applyBorder="1" applyAlignment="1">
      <alignment horizontal="center"/>
    </xf>
    <xf numFmtId="0" fontId="10" fillId="9" borderId="1" xfId="0" applyFont="1" applyFill="1" applyBorder="1" applyAlignment="1"/>
    <xf numFmtId="9" fontId="16" fillId="9" borderId="1" xfId="3" applyFont="1" applyFill="1" applyBorder="1" applyAlignment="1">
      <alignment horizontal="center" vertical="top"/>
    </xf>
    <xf numFmtId="9" fontId="0" fillId="9" borderId="1" xfId="0" applyNumberFormat="1" applyFill="1" applyBorder="1" applyAlignment="1"/>
    <xf numFmtId="1" fontId="10" fillId="12" borderId="1" xfId="0" applyNumberFormat="1" applyFont="1" applyFill="1" applyBorder="1" applyAlignment="1">
      <alignment horizontal="center" vertical="top"/>
    </xf>
    <xf numFmtId="0" fontId="16" fillId="9" borderId="1" xfId="0" applyFont="1" applyFill="1" applyBorder="1" applyAlignment="1">
      <alignment horizontal="center" vertical="top"/>
    </xf>
    <xf numFmtId="0" fontId="10" fillId="9" borderId="1" xfId="0" applyFont="1" applyFill="1" applyBorder="1" applyAlignment="1">
      <alignment horizontal="center" vertical="top"/>
    </xf>
    <xf numFmtId="9" fontId="16" fillId="9" borderId="39" xfId="3" applyFont="1" applyFill="1" applyBorder="1" applyAlignment="1">
      <alignment horizontal="center" vertical="top"/>
    </xf>
    <xf numFmtId="9" fontId="0" fillId="9" borderId="39" xfId="0" applyNumberFormat="1" applyFill="1" applyBorder="1" applyAlignment="1"/>
    <xf numFmtId="0" fontId="16" fillId="9" borderId="39" xfId="0" applyFont="1" applyFill="1" applyBorder="1" applyAlignment="1">
      <alignment horizontal="center" vertical="top"/>
    </xf>
    <xf numFmtId="9" fontId="10" fillId="10" borderId="41" xfId="3" applyFont="1" applyFill="1" applyBorder="1" applyAlignment="1">
      <alignment horizontal="center" vertical="top" wrapText="1"/>
    </xf>
    <xf numFmtId="9" fontId="10" fillId="10" borderId="42" xfId="3" applyFont="1" applyFill="1" applyBorder="1" applyAlignment="1">
      <alignment horizontal="center" vertical="top" wrapText="1"/>
    </xf>
    <xf numFmtId="9" fontId="10" fillId="10" borderId="43" xfId="3" applyFont="1" applyFill="1" applyBorder="1" applyAlignment="1">
      <alignment horizontal="center" vertical="top" wrapText="1"/>
    </xf>
    <xf numFmtId="164" fontId="10" fillId="10" borderId="36" xfId="3" applyNumberFormat="1" applyFont="1" applyFill="1" applyBorder="1" applyAlignment="1">
      <alignment horizontal="center" vertical="center" wrapText="1"/>
    </xf>
    <xf numFmtId="164" fontId="10" fillId="10" borderId="38" xfId="3" applyNumberFormat="1" applyFont="1" applyFill="1" applyBorder="1" applyAlignment="1">
      <alignment horizontal="center" vertical="center" wrapText="1"/>
    </xf>
    <xf numFmtId="164" fontId="10" fillId="10" borderId="44" xfId="3" applyNumberFormat="1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 applyProtection="1">
      <alignment horizontal="center" vertical="center"/>
      <protection locked="0"/>
    </xf>
    <xf numFmtId="167" fontId="10" fillId="0" borderId="45" xfId="3" applyNumberFormat="1" applyFont="1" applyFill="1" applyBorder="1" applyAlignment="1" applyProtection="1">
      <alignment horizontal="center" vertical="center"/>
      <protection locked="0"/>
    </xf>
    <xf numFmtId="3" fontId="10" fillId="0" borderId="38" xfId="0" applyNumberFormat="1" applyFont="1" applyFill="1" applyBorder="1" applyAlignment="1" applyProtection="1">
      <alignment horizontal="center" vertical="center"/>
      <protection locked="0"/>
    </xf>
    <xf numFmtId="167" fontId="10" fillId="0" borderId="46" xfId="3" applyNumberFormat="1" applyFont="1" applyFill="1" applyBorder="1" applyAlignment="1" applyProtection="1">
      <alignment horizontal="center" vertical="center"/>
      <protection locked="0"/>
    </xf>
    <xf numFmtId="3" fontId="10" fillId="0" borderId="44" xfId="0" applyNumberFormat="1" applyFont="1" applyFill="1" applyBorder="1" applyAlignment="1" applyProtection="1">
      <alignment horizontal="center" vertical="center"/>
      <protection locked="0"/>
    </xf>
    <xf numFmtId="167" fontId="10" fillId="0" borderId="47" xfId="3" applyNumberFormat="1" applyFont="1" applyFill="1" applyBorder="1" applyAlignment="1" applyProtection="1">
      <alignment horizontal="center" vertical="center"/>
      <protection locked="0"/>
    </xf>
    <xf numFmtId="9" fontId="10" fillId="0" borderId="46" xfId="3" applyFont="1" applyFill="1" applyBorder="1" applyAlignment="1" applyProtection="1">
      <alignment horizontal="center" vertical="center"/>
      <protection locked="0"/>
    </xf>
    <xf numFmtId="9" fontId="10" fillId="0" borderId="47" xfId="3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center" vertical="center"/>
      <protection locked="0"/>
    </xf>
    <xf numFmtId="164" fontId="10" fillId="10" borderId="49" xfId="3" applyNumberFormat="1" applyFont="1" applyFill="1" applyBorder="1" applyAlignment="1">
      <alignment horizontal="center" vertical="center" wrapText="1"/>
    </xf>
    <xf numFmtId="164" fontId="10" fillId="10" borderId="48" xfId="3" applyNumberFormat="1" applyFont="1" applyFill="1" applyBorder="1" applyAlignment="1">
      <alignment horizontal="center" vertical="center" wrapText="1"/>
    </xf>
    <xf numFmtId="0" fontId="10" fillId="12" borderId="48" xfId="0" applyFont="1" applyFill="1" applyBorder="1" applyAlignment="1">
      <alignment vertical="top"/>
    </xf>
    <xf numFmtId="9" fontId="10" fillId="10" borderId="50" xfId="3" applyFont="1" applyFill="1" applyBorder="1" applyAlignment="1">
      <alignment horizontal="center" vertical="top" wrapText="1"/>
    </xf>
    <xf numFmtId="167" fontId="10" fillId="0" borderId="51" xfId="3" applyNumberFormat="1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Border="1" applyAlignment="1" applyProtection="1">
      <alignment horizontal="center"/>
    </xf>
    <xf numFmtId="164" fontId="10" fillId="10" borderId="52" xfId="3" applyNumberFormat="1" applyFont="1" applyFill="1" applyBorder="1" applyAlignment="1">
      <alignment horizontal="center" vertical="center" wrapText="1"/>
    </xf>
    <xf numFmtId="164" fontId="10" fillId="10" borderId="53" xfId="3" applyNumberFormat="1" applyFont="1" applyFill="1" applyBorder="1" applyAlignment="1">
      <alignment horizontal="center" vertical="center" wrapText="1"/>
    </xf>
    <xf numFmtId="9" fontId="10" fillId="10" borderId="45" xfId="3" applyFont="1" applyFill="1" applyBorder="1" applyAlignment="1">
      <alignment horizontal="center" vertical="center" wrapText="1"/>
    </xf>
    <xf numFmtId="9" fontId="10" fillId="10" borderId="46" xfId="3" applyFont="1" applyFill="1" applyBorder="1" applyAlignment="1">
      <alignment horizontal="center" vertical="center" wrapText="1"/>
    </xf>
    <xf numFmtId="9" fontId="10" fillId="10" borderId="47" xfId="3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top" wrapText="1"/>
    </xf>
    <xf numFmtId="0" fontId="9" fillId="8" borderId="0" xfId="0" applyFont="1" applyFill="1" applyBorder="1" applyAlignment="1">
      <alignment horizontal="center" vertical="top"/>
    </xf>
    <xf numFmtId="0" fontId="0" fillId="0" borderId="15" xfId="0" applyBorder="1" applyAlignment="1"/>
    <xf numFmtId="0" fontId="9" fillId="8" borderId="3" xfId="0" applyNumberFormat="1" applyFont="1" applyFill="1" applyBorder="1" applyAlignment="1">
      <alignment horizontal="center" vertical="center"/>
    </xf>
    <xf numFmtId="164" fontId="10" fillId="10" borderId="54" xfId="3" applyNumberFormat="1" applyFont="1" applyFill="1" applyBorder="1" applyAlignment="1">
      <alignment horizontal="center" vertical="center" wrapText="1"/>
    </xf>
    <xf numFmtId="164" fontId="10" fillId="10" borderId="55" xfId="3" applyNumberFormat="1" applyFont="1" applyFill="1" applyBorder="1" applyAlignment="1">
      <alignment horizontal="center" vertical="center" wrapText="1"/>
    </xf>
    <xf numFmtId="164" fontId="10" fillId="10" borderId="56" xfId="3" applyNumberFormat="1" applyFont="1" applyFill="1" applyBorder="1" applyAlignment="1">
      <alignment horizontal="center" vertical="center" wrapText="1"/>
    </xf>
    <xf numFmtId="9" fontId="10" fillId="10" borderId="51" xfId="3" applyFont="1" applyFill="1" applyBorder="1" applyAlignment="1">
      <alignment horizontal="center" vertical="center" wrapText="1"/>
    </xf>
    <xf numFmtId="9" fontId="10" fillId="10" borderId="57" xfId="3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49" fontId="0" fillId="6" borderId="0" xfId="0" applyNumberFormat="1" applyFill="1"/>
    <xf numFmtId="49" fontId="10" fillId="7" borderId="19" xfId="0" applyNumberFormat="1" applyFont="1" applyFill="1" applyBorder="1" applyAlignment="1" applyProtection="1">
      <alignment horizontal="center" vertical="center"/>
    </xf>
    <xf numFmtId="49" fontId="10" fillId="7" borderId="14" xfId="0" applyNumberFormat="1" applyFont="1" applyFill="1" applyBorder="1" applyAlignment="1" applyProtection="1">
      <alignment horizontal="center"/>
    </xf>
    <xf numFmtId="49" fontId="21" fillId="9" borderId="4" xfId="0" applyNumberFormat="1" applyFont="1" applyFill="1" applyBorder="1"/>
    <xf numFmtId="49" fontId="0" fillId="0" borderId="0" xfId="0" applyNumberFormat="1"/>
    <xf numFmtId="49" fontId="21" fillId="9" borderId="16" xfId="0" applyNumberFormat="1" applyFont="1" applyFill="1" applyBorder="1"/>
    <xf numFmtId="1" fontId="10" fillId="4" borderId="16" xfId="0" applyNumberFormat="1" applyFont="1" applyFill="1" applyBorder="1" applyAlignment="1">
      <alignment horizontal="center"/>
    </xf>
    <xf numFmtId="1" fontId="0" fillId="4" borderId="4" xfId="3" applyNumberFormat="1" applyFont="1" applyFill="1" applyBorder="1" applyAlignment="1" applyProtection="1">
      <alignment horizontal="center"/>
    </xf>
    <xf numFmtId="10" fontId="0" fillId="4" borderId="4" xfId="3" applyNumberFormat="1" applyFont="1" applyFill="1" applyBorder="1" applyAlignment="1" applyProtection="1">
      <alignment horizontal="center"/>
    </xf>
    <xf numFmtId="0" fontId="40" fillId="14" borderId="0" xfId="0" applyFont="1" applyFill="1" applyBorder="1" applyAlignment="1" applyProtection="1">
      <alignment horizontal="left"/>
    </xf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left"/>
    </xf>
    <xf numFmtId="0" fontId="0" fillId="9" borderId="38" xfId="0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9" borderId="44" xfId="0" applyFill="1" applyBorder="1" applyAlignment="1">
      <alignment horizontal="center"/>
    </xf>
    <xf numFmtId="0" fontId="0" fillId="9" borderId="39" xfId="0" applyFill="1" applyBorder="1" applyAlignment="1">
      <alignment horizontal="left"/>
    </xf>
    <xf numFmtId="49" fontId="21" fillId="9" borderId="36" xfId="0" applyNumberFormat="1" applyFont="1" applyFill="1" applyBorder="1"/>
    <xf numFmtId="0" fontId="0" fillId="9" borderId="37" xfId="0" applyFill="1" applyBorder="1"/>
    <xf numFmtId="49" fontId="21" fillId="9" borderId="38" xfId="0" applyNumberFormat="1" applyFont="1" applyFill="1" applyBorder="1"/>
    <xf numFmtId="0" fontId="0" fillId="9" borderId="1" xfId="0" applyFill="1" applyBorder="1"/>
    <xf numFmtId="0" fontId="9" fillId="9" borderId="1" xfId="0" applyFont="1" applyFill="1" applyBorder="1"/>
    <xf numFmtId="49" fontId="21" fillId="9" borderId="44" xfId="0" applyNumberFormat="1" applyFont="1" applyFill="1" applyBorder="1"/>
    <xf numFmtId="0" fontId="9" fillId="9" borderId="39" xfId="0" applyFont="1" applyFill="1" applyBorder="1"/>
    <xf numFmtId="0" fontId="9" fillId="9" borderId="37" xfId="0" applyFont="1" applyFill="1" applyBorder="1"/>
    <xf numFmtId="1" fontId="11" fillId="9" borderId="1" xfId="0" applyNumberFormat="1" applyFont="1" applyFill="1" applyBorder="1" applyAlignment="1" applyProtection="1">
      <alignment horizontal="left"/>
    </xf>
    <xf numFmtId="0" fontId="0" fillId="9" borderId="39" xfId="0" applyFill="1" applyBorder="1"/>
    <xf numFmtId="49" fontId="21" fillId="9" borderId="49" xfId="0" applyNumberFormat="1" applyFont="1" applyFill="1" applyBorder="1"/>
    <xf numFmtId="0" fontId="0" fillId="9" borderId="58" xfId="0" applyFill="1" applyBorder="1"/>
    <xf numFmtId="0" fontId="10" fillId="9" borderId="37" xfId="0" applyFont="1" applyFill="1" applyBorder="1"/>
    <xf numFmtId="0" fontId="10" fillId="9" borderId="58" xfId="0" applyFont="1" applyFill="1" applyBorder="1"/>
    <xf numFmtId="0" fontId="10" fillId="9" borderId="1" xfId="0" applyFont="1" applyFill="1" applyBorder="1"/>
    <xf numFmtId="0" fontId="9" fillId="16" borderId="19" xfId="0" applyFont="1" applyFill="1" applyBorder="1" applyAlignment="1" applyProtection="1">
      <alignment horizontal="center"/>
    </xf>
    <xf numFmtId="3" fontId="9" fillId="4" borderId="59" xfId="0" applyNumberFormat="1" applyFont="1" applyFill="1" applyBorder="1" applyAlignment="1" applyProtection="1">
      <alignment horizontal="center"/>
    </xf>
    <xf numFmtId="167" fontId="0" fillId="4" borderId="60" xfId="3" applyNumberFormat="1" applyFont="1" applyFill="1" applyBorder="1" applyAlignment="1" applyProtection="1">
      <alignment horizontal="center"/>
    </xf>
    <xf numFmtId="9" fontId="0" fillId="4" borderId="60" xfId="3" applyFont="1" applyFill="1" applyBorder="1" applyAlignment="1" applyProtection="1">
      <alignment horizontal="center"/>
    </xf>
    <xf numFmtId="2" fontId="0" fillId="4" borderId="60" xfId="3" applyNumberFormat="1" applyFont="1" applyFill="1" applyBorder="1" applyAlignment="1" applyProtection="1">
      <alignment horizontal="center"/>
    </xf>
    <xf numFmtId="3" fontId="0" fillId="4" borderId="60" xfId="0" applyNumberFormat="1" applyFill="1" applyBorder="1" applyAlignment="1" applyProtection="1">
      <alignment horizontal="center"/>
    </xf>
    <xf numFmtId="3" fontId="9" fillId="4" borderId="60" xfId="0" applyNumberFormat="1" applyFont="1" applyFill="1" applyBorder="1" applyAlignment="1" applyProtection="1">
      <alignment horizontal="center"/>
    </xf>
    <xf numFmtId="167" fontId="0" fillId="4" borderId="61" xfId="3" applyNumberFormat="1" applyFont="1" applyFill="1" applyBorder="1" applyAlignment="1" applyProtection="1">
      <alignment horizontal="center"/>
    </xf>
    <xf numFmtId="164" fontId="0" fillId="4" borderId="62" xfId="3" applyNumberFormat="1" applyFont="1" applyFill="1" applyBorder="1" applyAlignment="1" applyProtection="1">
      <alignment horizontal="center"/>
    </xf>
    <xf numFmtId="3" fontId="0" fillId="4" borderId="59" xfId="0" applyNumberFormat="1" applyFill="1" applyBorder="1" applyAlignment="1" applyProtection="1">
      <alignment horizontal="center"/>
    </xf>
    <xf numFmtId="3" fontId="0" fillId="4" borderId="62" xfId="0" applyNumberFormat="1" applyFill="1" applyBorder="1" applyAlignment="1" applyProtection="1">
      <alignment horizontal="center"/>
    </xf>
    <xf numFmtId="4" fontId="9" fillId="4" borderId="59" xfId="0" applyNumberFormat="1" applyFont="1" applyFill="1" applyBorder="1" applyAlignment="1" applyProtection="1">
      <alignment horizontal="center"/>
    </xf>
    <xf numFmtId="4" fontId="0" fillId="4" borderId="60" xfId="0" applyNumberFormat="1" applyFill="1" applyBorder="1" applyAlignment="1" applyProtection="1">
      <alignment horizontal="center"/>
    </xf>
    <xf numFmtId="4" fontId="0" fillId="4" borderId="59" xfId="0" applyNumberFormat="1" applyFill="1" applyBorder="1" applyAlignment="1" applyProtection="1">
      <alignment horizontal="center"/>
    </xf>
    <xf numFmtId="168" fontId="9" fillId="4" borderId="61" xfId="0" applyNumberFormat="1" applyFont="1" applyFill="1" applyBorder="1" applyAlignment="1" applyProtection="1">
      <alignment horizontal="center"/>
    </xf>
    <xf numFmtId="0" fontId="10" fillId="7" borderId="11" xfId="0" applyFont="1" applyFill="1" applyBorder="1" applyAlignment="1">
      <alignment vertical="center"/>
    </xf>
    <xf numFmtId="0" fontId="0" fillId="9" borderId="41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9" fillId="9" borderId="41" xfId="0" applyFont="1" applyFill="1" applyBorder="1" applyAlignment="1">
      <alignment horizontal="center"/>
    </xf>
    <xf numFmtId="1" fontId="11" fillId="9" borderId="42" xfId="0" applyNumberFormat="1" applyFont="1" applyFill="1" applyBorder="1" applyAlignment="1" applyProtection="1">
      <alignment horizontal="center"/>
    </xf>
    <xf numFmtId="0" fontId="9" fillId="9" borderId="42" xfId="0" applyFont="1" applyFill="1" applyBorder="1" applyAlignment="1">
      <alignment horizontal="center"/>
    </xf>
    <xf numFmtId="0" fontId="0" fillId="9" borderId="63" xfId="0" applyFill="1" applyBorder="1" applyAlignment="1">
      <alignment horizontal="center"/>
    </xf>
    <xf numFmtId="0" fontId="10" fillId="9" borderId="41" xfId="0" applyFont="1" applyFill="1" applyBorder="1" applyAlignment="1">
      <alignment horizontal="center"/>
    </xf>
    <xf numFmtId="0" fontId="10" fillId="9" borderId="63" xfId="0" applyFont="1" applyFill="1" applyBorder="1" applyAlignment="1">
      <alignment horizontal="center"/>
    </xf>
    <xf numFmtId="0" fontId="10" fillId="9" borderId="42" xfId="0" applyFont="1" applyFill="1" applyBorder="1" applyAlignment="1">
      <alignment horizontal="center"/>
    </xf>
    <xf numFmtId="0" fontId="9" fillId="9" borderId="43" xfId="0" applyFont="1" applyFill="1" applyBorder="1" applyAlignment="1">
      <alignment horizontal="center"/>
    </xf>
    <xf numFmtId="0" fontId="9" fillId="17" borderId="8" xfId="0" applyFont="1" applyFill="1" applyBorder="1" applyAlignment="1" applyProtection="1">
      <alignment horizontal="center"/>
    </xf>
    <xf numFmtId="0" fontId="2" fillId="3" borderId="13" xfId="0" applyFont="1" applyFill="1" applyBorder="1" applyAlignment="1">
      <alignment horizontal="center" vertical="center"/>
    </xf>
    <xf numFmtId="49" fontId="27" fillId="13" borderId="5" xfId="0" applyNumberFormat="1" applyFont="1" applyFill="1" applyBorder="1" applyAlignment="1" applyProtection="1">
      <alignment vertical="center"/>
    </xf>
    <xf numFmtId="0" fontId="16" fillId="6" borderId="59" xfId="0" applyFont="1" applyFill="1" applyBorder="1" applyAlignment="1" applyProtection="1">
      <alignment horizontal="center"/>
      <protection locked="0"/>
    </xf>
    <xf numFmtId="0" fontId="16" fillId="6" borderId="60" xfId="0" applyFont="1" applyFill="1" applyBorder="1" applyAlignment="1" applyProtection="1">
      <alignment horizontal="center"/>
      <protection locked="0"/>
    </xf>
    <xf numFmtId="9" fontId="16" fillId="6" borderId="60" xfId="0" applyNumberFormat="1" applyFont="1" applyFill="1" applyBorder="1" applyAlignment="1" applyProtection="1">
      <alignment horizontal="center"/>
      <protection locked="0"/>
    </xf>
    <xf numFmtId="9" fontId="16" fillId="6" borderId="60" xfId="0" applyNumberFormat="1" applyFont="1" applyFill="1" applyBorder="1" applyAlignment="1" applyProtection="1">
      <alignment horizontal="left"/>
      <protection locked="0"/>
    </xf>
    <xf numFmtId="0" fontId="30" fillId="6" borderId="60" xfId="0" applyFont="1" applyFill="1" applyBorder="1" applyProtection="1">
      <protection locked="0"/>
    </xf>
    <xf numFmtId="9" fontId="16" fillId="6" borderId="60" xfId="3" applyFont="1" applyFill="1" applyBorder="1" applyAlignment="1" applyProtection="1">
      <alignment horizontal="center"/>
      <protection locked="0"/>
    </xf>
    <xf numFmtId="9" fontId="16" fillId="6" borderId="60" xfId="3" applyFont="1" applyFill="1" applyBorder="1" applyAlignment="1" applyProtection="1">
      <alignment horizontal="left"/>
      <protection locked="0"/>
    </xf>
    <xf numFmtId="9" fontId="16" fillId="6" borderId="61" xfId="0" applyNumberFormat="1" applyFont="1" applyFill="1" applyBorder="1" applyAlignment="1" applyProtection="1">
      <alignment horizontal="left"/>
      <protection locked="0"/>
    </xf>
    <xf numFmtId="0" fontId="10" fillId="9" borderId="1" xfId="0" applyFont="1" applyFill="1" applyBorder="1" applyAlignment="1">
      <alignment horizontal="left" vertical="top"/>
    </xf>
    <xf numFmtId="0" fontId="10" fillId="18" borderId="1" xfId="0" applyFont="1" applyFill="1" applyBorder="1" applyAlignment="1">
      <alignment horizontal="center" vertical="top" wrapText="1"/>
    </xf>
    <xf numFmtId="9" fontId="10" fillId="18" borderId="42" xfId="3" applyFont="1" applyFill="1" applyBorder="1" applyAlignment="1">
      <alignment horizontal="center" vertical="top" wrapText="1"/>
    </xf>
    <xf numFmtId="0" fontId="10" fillId="9" borderId="44" xfId="0" applyFont="1" applyFill="1" applyBorder="1" applyAlignment="1">
      <alignment vertical="top"/>
    </xf>
    <xf numFmtId="0" fontId="10" fillId="9" borderId="39" xfId="0" applyFont="1" applyFill="1" applyBorder="1" applyAlignment="1">
      <alignment horizontal="left" vertical="top"/>
    </xf>
    <xf numFmtId="0" fontId="10" fillId="18" borderId="39" xfId="0" applyFont="1" applyFill="1" applyBorder="1" applyAlignment="1">
      <alignment horizontal="center" vertical="top" wrapText="1"/>
    </xf>
    <xf numFmtId="9" fontId="10" fillId="18" borderId="43" xfId="3" applyFont="1" applyFill="1" applyBorder="1" applyAlignment="1">
      <alignment horizontal="center" vertical="top" wrapText="1"/>
    </xf>
    <xf numFmtId="0" fontId="10" fillId="9" borderId="38" xfId="0" applyFont="1" applyFill="1" applyBorder="1" applyAlignment="1"/>
    <xf numFmtId="0" fontId="10" fillId="9" borderId="39" xfId="0" applyFont="1" applyFill="1" applyBorder="1" applyAlignment="1">
      <alignment vertical="top"/>
    </xf>
    <xf numFmtId="0" fontId="0" fillId="9" borderId="1" xfId="0" applyFill="1" applyBorder="1" applyAlignment="1"/>
    <xf numFmtId="0" fontId="0" fillId="9" borderId="39" xfId="0" applyFill="1" applyBorder="1" applyAlignment="1"/>
    <xf numFmtId="0" fontId="27" fillId="0" borderId="0" xfId="0" applyFont="1" applyFill="1" applyBorder="1" applyAlignment="1">
      <alignment horizontal="right" vertical="center"/>
    </xf>
    <xf numFmtId="49" fontId="37" fillId="13" borderId="15" xfId="0" applyNumberFormat="1" applyFont="1" applyFill="1" applyBorder="1" applyAlignment="1" applyProtection="1">
      <alignment vertical="center"/>
    </xf>
    <xf numFmtId="49" fontId="27" fillId="13" borderId="15" xfId="0" applyNumberFormat="1" applyFont="1" applyFill="1" applyBorder="1" applyAlignment="1" applyProtection="1">
      <alignment vertical="center"/>
    </xf>
    <xf numFmtId="1" fontId="11" fillId="5" borderId="0" xfId="0" applyNumberFormat="1" applyFont="1" applyFill="1" applyBorder="1" applyAlignment="1" applyProtection="1">
      <alignment horizontal="center"/>
    </xf>
    <xf numFmtId="49" fontId="35" fillId="19" borderId="4" xfId="0" applyNumberFormat="1" applyFont="1" applyFill="1" applyBorder="1" applyAlignment="1" applyProtection="1">
      <alignment horizontal="center" vertical="center"/>
    </xf>
    <xf numFmtId="0" fontId="30" fillId="8" borderId="4" xfId="0" applyFont="1" applyFill="1" applyBorder="1" applyAlignment="1">
      <alignment horizontal="justify" vertical="top"/>
    </xf>
    <xf numFmtId="0" fontId="10" fillId="9" borderId="40" xfId="0" applyFont="1" applyFill="1" applyBorder="1" applyAlignment="1"/>
    <xf numFmtId="0" fontId="16" fillId="9" borderId="40" xfId="0" applyFont="1" applyFill="1" applyBorder="1" applyAlignment="1">
      <alignment vertical="top"/>
    </xf>
    <xf numFmtId="0" fontId="10" fillId="9" borderId="42" xfId="0" applyFont="1" applyFill="1" applyBorder="1" applyAlignment="1">
      <alignment horizontal="left" vertical="top"/>
    </xf>
    <xf numFmtId="9" fontId="10" fillId="9" borderId="64" xfId="3" applyFont="1" applyFill="1" applyBorder="1" applyAlignment="1">
      <alignment horizontal="center"/>
    </xf>
    <xf numFmtId="0" fontId="16" fillId="9" borderId="58" xfId="0" applyFont="1" applyFill="1" applyBorder="1" applyAlignment="1">
      <alignment vertical="top"/>
    </xf>
    <xf numFmtId="0" fontId="0" fillId="9" borderId="40" xfId="0" applyFill="1" applyBorder="1" applyAlignment="1"/>
    <xf numFmtId="0" fontId="9" fillId="9" borderId="45" xfId="0" applyFont="1" applyFill="1" applyBorder="1" applyAlignment="1">
      <alignment horizontal="center"/>
    </xf>
    <xf numFmtId="0" fontId="10" fillId="9" borderId="46" xfId="0" applyFont="1" applyFill="1" applyBorder="1" applyAlignment="1">
      <alignment horizontal="center"/>
    </xf>
    <xf numFmtId="0" fontId="9" fillId="9" borderId="46" xfId="0" applyFont="1" applyFill="1" applyBorder="1" applyAlignment="1">
      <alignment horizontal="center"/>
    </xf>
    <xf numFmtId="4" fontId="9" fillId="4" borderId="60" xfId="0" applyNumberFormat="1" applyFont="1" applyFill="1" applyBorder="1" applyAlignment="1" applyProtection="1">
      <alignment horizontal="center"/>
    </xf>
    <xf numFmtId="2" fontId="0" fillId="4" borderId="59" xfId="3" applyNumberFormat="1" applyFont="1" applyFill="1" applyBorder="1" applyAlignment="1" applyProtection="1">
      <alignment horizontal="center"/>
    </xf>
    <xf numFmtId="0" fontId="9" fillId="9" borderId="63" xfId="0" applyFont="1" applyFill="1" applyBorder="1" applyAlignment="1">
      <alignment horizontal="center"/>
    </xf>
    <xf numFmtId="9" fontId="10" fillId="4" borderId="62" xfId="3" applyFont="1" applyFill="1" applyBorder="1" applyAlignment="1" applyProtection="1">
      <alignment horizontal="center"/>
    </xf>
    <xf numFmtId="0" fontId="9" fillId="6" borderId="0" xfId="0" applyFont="1" applyFill="1" applyAlignment="1">
      <alignment vertical="center"/>
    </xf>
    <xf numFmtId="0" fontId="34" fillId="14" borderId="9" xfId="0" applyFont="1" applyFill="1" applyBorder="1" applyAlignment="1" applyProtection="1">
      <alignment horizontal="left"/>
    </xf>
    <xf numFmtId="0" fontId="34" fillId="14" borderId="7" xfId="0" applyFont="1" applyFill="1" applyBorder="1" applyAlignment="1" applyProtection="1">
      <alignment horizontal="left"/>
    </xf>
    <xf numFmtId="0" fontId="34" fillId="14" borderId="8" xfId="0" applyFont="1" applyFill="1" applyBorder="1" applyAlignment="1" applyProtection="1">
      <alignment horizontal="left"/>
    </xf>
    <xf numFmtId="0" fontId="34" fillId="14" borderId="12" xfId="0" applyFont="1" applyFill="1" applyBorder="1" applyAlignment="1" applyProtection="1">
      <alignment horizontal="left"/>
    </xf>
    <xf numFmtId="0" fontId="34" fillId="14" borderId="11" xfId="0" applyFont="1" applyFill="1" applyBorder="1" applyAlignment="1" applyProtection="1">
      <alignment horizontal="left"/>
    </xf>
    <xf numFmtId="49" fontId="34" fillId="14" borderId="9" xfId="0" applyNumberFormat="1" applyFont="1" applyFill="1" applyBorder="1" applyAlignment="1" applyProtection="1">
      <alignment horizontal="left"/>
    </xf>
    <xf numFmtId="49" fontId="34" fillId="14" borderId="11" xfId="0" applyNumberFormat="1" applyFont="1" applyFill="1" applyBorder="1" applyAlignment="1" applyProtection="1">
      <alignment horizontal="left"/>
    </xf>
    <xf numFmtId="168" fontId="0" fillId="4" borderId="60" xfId="0" applyNumberFormat="1" applyFill="1" applyBorder="1" applyAlignment="1" applyProtection="1">
      <alignment horizontal="center"/>
    </xf>
    <xf numFmtId="9" fontId="16" fillId="9" borderId="65" xfId="3" applyFont="1" applyFill="1" applyBorder="1" applyAlignment="1">
      <alignment horizontal="center" vertical="top"/>
    </xf>
    <xf numFmtId="0" fontId="41" fillId="6" borderId="0" xfId="0" applyFont="1" applyFill="1" applyBorder="1"/>
    <xf numFmtId="0" fontId="17" fillId="14" borderId="33" xfId="0" applyFont="1" applyFill="1" applyBorder="1" applyAlignment="1" applyProtection="1">
      <alignment horizontal="left"/>
    </xf>
    <xf numFmtId="2" fontId="11" fillId="4" borderId="66" xfId="0" applyNumberFormat="1" applyFont="1" applyFill="1" applyBorder="1" applyAlignment="1" applyProtection="1">
      <alignment horizontal="center"/>
    </xf>
    <xf numFmtId="2" fontId="0" fillId="4" borderId="67" xfId="0" applyNumberFormat="1" applyFill="1" applyBorder="1" applyAlignment="1" applyProtection="1">
      <alignment horizontal="center"/>
    </xf>
    <xf numFmtId="2" fontId="0" fillId="4" borderId="68" xfId="0" applyNumberFormat="1" applyFill="1" applyBorder="1" applyAlignment="1" applyProtection="1">
      <alignment horizontal="center"/>
    </xf>
    <xf numFmtId="0" fontId="0" fillId="9" borderId="19" xfId="0" applyFill="1" applyBorder="1"/>
    <xf numFmtId="2" fontId="11" fillId="0" borderId="69" xfId="0" applyNumberFormat="1" applyFont="1" applyFill="1" applyBorder="1" applyAlignment="1" applyProtection="1">
      <alignment horizontal="center"/>
      <protection locked="0"/>
    </xf>
    <xf numFmtId="2" fontId="11" fillId="0" borderId="70" xfId="0" applyNumberFormat="1" applyFont="1" applyFill="1" applyBorder="1" applyAlignment="1" applyProtection="1">
      <alignment horizontal="center"/>
      <protection locked="0"/>
    </xf>
    <xf numFmtId="2" fontId="11" fillId="0" borderId="71" xfId="0" applyNumberFormat="1" applyFont="1" applyFill="1" applyBorder="1" applyAlignment="1" applyProtection="1">
      <alignment horizontal="center"/>
      <protection locked="0"/>
    </xf>
    <xf numFmtId="0" fontId="16" fillId="6" borderId="52" xfId="0" applyFon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17" fillId="14" borderId="72" xfId="0" applyFont="1" applyFill="1" applyBorder="1" applyAlignment="1" applyProtection="1">
      <alignment horizontal="left"/>
    </xf>
    <xf numFmtId="164" fontId="0" fillId="4" borderId="66" xfId="0" applyNumberFormat="1" applyFill="1" applyBorder="1" applyAlignment="1" applyProtection="1">
      <alignment horizontal="center"/>
    </xf>
    <xf numFmtId="1" fontId="0" fillId="4" borderId="67" xfId="0" applyNumberFormat="1" applyFill="1" applyBorder="1" applyAlignment="1" applyProtection="1">
      <alignment horizontal="center"/>
    </xf>
    <xf numFmtId="1" fontId="11" fillId="4" borderId="67" xfId="0" applyNumberFormat="1" applyFont="1" applyFill="1" applyBorder="1" applyAlignment="1" applyProtection="1">
      <alignment horizontal="center"/>
    </xf>
    <xf numFmtId="164" fontId="11" fillId="0" borderId="69" xfId="0" applyNumberFormat="1" applyFont="1" applyFill="1" applyBorder="1" applyAlignment="1" applyProtection="1">
      <alignment horizontal="center"/>
      <protection locked="0"/>
    </xf>
    <xf numFmtId="1" fontId="11" fillId="0" borderId="70" xfId="0" applyNumberFormat="1" applyFont="1" applyFill="1" applyBorder="1" applyAlignment="1" applyProtection="1">
      <alignment horizontal="center"/>
      <protection locked="0"/>
    </xf>
    <xf numFmtId="2" fontId="0" fillId="4" borderId="14" xfId="0" applyNumberFormat="1" applyFill="1" applyBorder="1" applyAlignment="1" applyProtection="1">
      <alignment horizontal="center"/>
    </xf>
    <xf numFmtId="2" fontId="11" fillId="6" borderId="71" xfId="0" applyNumberFormat="1" applyFont="1" applyFill="1" applyBorder="1" applyAlignment="1" applyProtection="1">
      <alignment horizontal="center"/>
      <protection locked="0"/>
    </xf>
    <xf numFmtId="0" fontId="10" fillId="9" borderId="10" xfId="0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 applyProtection="1">
      <alignment horizontal="center" vertical="center"/>
      <protection locked="0"/>
    </xf>
    <xf numFmtId="167" fontId="10" fillId="0" borderId="57" xfId="3" applyNumberFormat="1" applyFont="1" applyFill="1" applyBorder="1" applyAlignment="1" applyProtection="1">
      <alignment horizontal="center" vertical="center"/>
      <protection locked="0"/>
    </xf>
    <xf numFmtId="164" fontId="10" fillId="9" borderId="10" xfId="0" applyNumberFormat="1" applyFont="1" applyFill="1" applyBorder="1" applyAlignment="1" applyProtection="1">
      <alignment vertical="center"/>
      <protection locked="0"/>
    </xf>
    <xf numFmtId="167" fontId="10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3" xfId="0" applyNumberFormat="1" applyFont="1" applyFill="1" applyBorder="1" applyAlignment="1" applyProtection="1">
      <alignment horizontal="center" vertical="center"/>
      <protection locked="0"/>
    </xf>
    <xf numFmtId="167" fontId="10" fillId="0" borderId="74" xfId="3" applyNumberFormat="1" applyFont="1" applyFill="1" applyBorder="1" applyAlignment="1" applyProtection="1">
      <alignment horizontal="center" vertical="center"/>
      <protection locked="0"/>
    </xf>
    <xf numFmtId="3" fontId="10" fillId="0" borderId="75" xfId="0" applyNumberFormat="1" applyFont="1" applyFill="1" applyBorder="1" applyAlignment="1" applyProtection="1">
      <alignment horizontal="center" vertical="center"/>
      <protection locked="0"/>
    </xf>
    <xf numFmtId="167" fontId="10" fillId="0" borderId="76" xfId="3" applyNumberFormat="1" applyFont="1" applyFill="1" applyBorder="1" applyAlignment="1" applyProtection="1">
      <alignment horizontal="center" vertical="center"/>
      <protection locked="0"/>
    </xf>
    <xf numFmtId="3" fontId="10" fillId="0" borderId="77" xfId="0" applyNumberFormat="1" applyFont="1" applyFill="1" applyBorder="1" applyAlignment="1" applyProtection="1">
      <alignment horizontal="center" vertical="center"/>
      <protection locked="0"/>
    </xf>
    <xf numFmtId="167" fontId="10" fillId="0" borderId="78" xfId="3" applyNumberFormat="1" applyFont="1" applyFill="1" applyBorder="1" applyAlignment="1" applyProtection="1">
      <alignment horizontal="center" vertical="center"/>
      <protection locked="0"/>
    </xf>
    <xf numFmtId="9" fontId="10" fillId="0" borderId="57" xfId="3" applyFont="1" applyFill="1" applyBorder="1" applyAlignment="1" applyProtection="1">
      <alignment horizontal="center" vertical="center"/>
      <protection locked="0"/>
    </xf>
    <xf numFmtId="9" fontId="10" fillId="0" borderId="51" xfId="3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64" fontId="10" fillId="10" borderId="79" xfId="3" applyNumberFormat="1" applyFont="1" applyFill="1" applyBorder="1" applyAlignment="1">
      <alignment horizontal="center" vertical="center" wrapText="1"/>
    </xf>
    <xf numFmtId="164" fontId="10" fillId="10" borderId="80" xfId="3" applyNumberFormat="1" applyFont="1" applyFill="1" applyBorder="1" applyAlignment="1">
      <alignment horizontal="center" vertical="center" wrapText="1"/>
    </xf>
    <xf numFmtId="164" fontId="10" fillId="10" borderId="81" xfId="3" applyNumberFormat="1" applyFont="1" applyFill="1" applyBorder="1" applyAlignment="1">
      <alignment horizontal="center" vertical="center" wrapText="1"/>
    </xf>
    <xf numFmtId="3" fontId="10" fillId="0" borderId="82" xfId="0" applyNumberFormat="1" applyFont="1" applyFill="1" applyBorder="1" applyAlignment="1" applyProtection="1">
      <alignment horizontal="center" vertical="center"/>
      <protection locked="0"/>
    </xf>
    <xf numFmtId="3" fontId="23" fillId="0" borderId="77" xfId="0" applyNumberFormat="1" applyFont="1" applyFill="1" applyBorder="1" applyAlignment="1" applyProtection="1">
      <alignment horizontal="center" vertical="center"/>
      <protection locked="0"/>
    </xf>
    <xf numFmtId="9" fontId="0" fillId="2" borderId="6" xfId="3" applyFont="1" applyFill="1" applyBorder="1" applyAlignment="1">
      <alignment horizontal="center"/>
    </xf>
    <xf numFmtId="0" fontId="9" fillId="8" borderId="9" xfId="0" applyFont="1" applyFill="1" applyBorder="1" applyAlignment="1">
      <alignment vertical="top"/>
    </xf>
    <xf numFmtId="0" fontId="6" fillId="8" borderId="0" xfId="0" applyFont="1" applyFill="1" applyBorder="1" applyAlignment="1">
      <alignment horizontal="left" vertical="top"/>
    </xf>
    <xf numFmtId="0" fontId="9" fillId="8" borderId="13" xfId="0" applyFont="1" applyFill="1" applyBorder="1" applyAlignment="1">
      <alignment vertical="top"/>
    </xf>
    <xf numFmtId="0" fontId="10" fillId="8" borderId="80" xfId="0" applyFont="1" applyFill="1" applyBorder="1" applyAlignment="1">
      <alignment vertical="top"/>
    </xf>
    <xf numFmtId="0" fontId="0" fillId="8" borderId="81" xfId="0" applyFill="1" applyBorder="1" applyAlignment="1"/>
    <xf numFmtId="0" fontId="10" fillId="14" borderId="0" xfId="0" applyFont="1" applyFill="1" applyBorder="1" applyAlignment="1" applyProtection="1">
      <alignment horizontal="left"/>
    </xf>
    <xf numFmtId="0" fontId="43" fillId="14" borderId="11" xfId="0" applyFont="1" applyFill="1" applyBorder="1" applyAlignment="1" applyProtection="1">
      <alignment horizontal="left"/>
    </xf>
    <xf numFmtId="0" fontId="43" fillId="14" borderId="0" xfId="0" applyFont="1" applyFill="1" applyBorder="1" applyAlignment="1" applyProtection="1">
      <alignment horizontal="left"/>
    </xf>
    <xf numFmtId="2" fontId="11" fillId="4" borderId="67" xfId="0" applyNumberFormat="1" applyFont="1" applyFill="1" applyBorder="1" applyAlignment="1" applyProtection="1">
      <alignment horizontal="center"/>
    </xf>
    <xf numFmtId="3" fontId="11" fillId="6" borderId="70" xfId="0" applyNumberFormat="1" applyFont="1" applyFill="1" applyBorder="1" applyAlignment="1" applyProtection="1">
      <alignment horizontal="center"/>
      <protection locked="0"/>
    </xf>
    <xf numFmtId="0" fontId="44" fillId="14" borderId="5" xfId="0" applyFont="1" applyFill="1" applyBorder="1" applyAlignment="1" applyProtection="1">
      <alignment horizontal="left"/>
    </xf>
    <xf numFmtId="0" fontId="44" fillId="14" borderId="6" xfId="0" applyFont="1" applyFill="1" applyBorder="1" applyAlignment="1" applyProtection="1">
      <alignment horizontal="left"/>
    </xf>
    <xf numFmtId="0" fontId="42" fillId="14" borderId="15" xfId="0" applyFont="1" applyFill="1" applyBorder="1" applyAlignment="1" applyProtection="1">
      <alignment horizontal="left"/>
    </xf>
    <xf numFmtId="9" fontId="10" fillId="0" borderId="69" xfId="3" applyFont="1" applyFill="1" applyBorder="1" applyAlignment="1" applyProtection="1">
      <alignment horizontal="center" vertical="top"/>
      <protection locked="0"/>
    </xf>
    <xf numFmtId="9" fontId="10" fillId="0" borderId="70" xfId="3" applyFont="1" applyFill="1" applyBorder="1" applyAlignment="1" applyProtection="1">
      <alignment horizontal="center" vertical="top"/>
      <protection locked="0"/>
    </xf>
    <xf numFmtId="9" fontId="10" fillId="0" borderId="71" xfId="3" applyFont="1" applyFill="1" applyBorder="1" applyAlignment="1" applyProtection="1">
      <alignment horizontal="center" vertical="top"/>
      <protection locked="0"/>
    </xf>
    <xf numFmtId="9" fontId="10" fillId="10" borderId="53" xfId="3" applyFont="1" applyFill="1" applyBorder="1" applyAlignment="1">
      <alignment horizontal="center" vertical="center" wrapText="1"/>
    </xf>
    <xf numFmtId="3" fontId="10" fillId="0" borderId="8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/>
    <xf numFmtId="0" fontId="0" fillId="6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6" borderId="0" xfId="0" applyFill="1" applyBorder="1" applyAlignment="1">
      <alignment horizontal="left"/>
    </xf>
    <xf numFmtId="44" fontId="0" fillId="6" borderId="0" xfId="4" applyFont="1" applyFill="1" applyBorder="1" applyAlignment="1">
      <alignment horizontal="left"/>
    </xf>
    <xf numFmtId="0" fontId="9" fillId="3" borderId="1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73" xfId="0" applyFont="1" applyFill="1" applyBorder="1" applyAlignment="1" applyProtection="1">
      <alignment vertical="top"/>
      <protection locked="0"/>
    </xf>
    <xf numFmtId="0" fontId="10" fillId="0" borderId="84" xfId="0" applyFont="1" applyFill="1" applyBorder="1" applyAlignment="1" applyProtection="1">
      <alignment horizontal="left" vertical="top"/>
      <protection locked="0"/>
    </xf>
    <xf numFmtId="0" fontId="10" fillId="0" borderId="74" xfId="0" applyFont="1" applyFill="1" applyBorder="1" applyAlignment="1" applyProtection="1">
      <alignment horizontal="left" vertical="top"/>
      <protection locked="0"/>
    </xf>
    <xf numFmtId="0" fontId="10" fillId="0" borderId="75" xfId="0" applyFont="1" applyFill="1" applyBorder="1" applyAlignment="1" applyProtection="1">
      <alignment vertical="top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0" fillId="0" borderId="76" xfId="0" applyFont="1" applyFill="1" applyBorder="1" applyAlignment="1" applyProtection="1">
      <alignment horizontal="left" vertical="top"/>
      <protection locked="0"/>
    </xf>
    <xf numFmtId="0" fontId="10" fillId="0" borderId="77" xfId="0" applyFont="1" applyFill="1" applyBorder="1" applyAlignment="1" applyProtection="1">
      <alignment vertical="top"/>
      <protection locked="0"/>
    </xf>
    <xf numFmtId="0" fontId="10" fillId="0" borderId="85" xfId="0" applyFont="1" applyFill="1" applyBorder="1" applyAlignment="1" applyProtection="1">
      <alignment horizontal="left" vertical="top"/>
      <protection locked="0"/>
    </xf>
    <xf numFmtId="0" fontId="10" fillId="0" borderId="78" xfId="0" applyFont="1" applyFill="1" applyBorder="1" applyAlignment="1" applyProtection="1">
      <alignment horizontal="left" vertical="top"/>
      <protection locked="0"/>
    </xf>
    <xf numFmtId="9" fontId="10" fillId="0" borderId="84" xfId="3" applyFont="1" applyFill="1" applyBorder="1" applyAlignment="1" applyProtection="1">
      <alignment horizontal="center" vertical="center"/>
      <protection locked="0"/>
    </xf>
    <xf numFmtId="0" fontId="10" fillId="0" borderId="84" xfId="3" applyNumberFormat="1" applyFont="1" applyFill="1" applyBorder="1" applyAlignment="1" applyProtection="1">
      <alignment horizontal="center" vertical="center"/>
      <protection locked="0"/>
    </xf>
    <xf numFmtId="9" fontId="0" fillId="0" borderId="84" xfId="3" applyFont="1" applyFill="1" applyBorder="1" applyAlignment="1" applyProtection="1">
      <alignment horizontal="center" vertical="center"/>
      <protection locked="0"/>
    </xf>
    <xf numFmtId="164" fontId="10" fillId="0" borderId="84" xfId="0" applyNumberFormat="1" applyFont="1" applyFill="1" applyBorder="1" applyAlignment="1" applyProtection="1">
      <alignment horizontal="center" vertical="center"/>
      <protection locked="0"/>
    </xf>
    <xf numFmtId="9" fontId="10" fillId="0" borderId="74" xfId="3" applyFont="1" applyBorder="1" applyAlignment="1" applyProtection="1">
      <alignment horizontal="center" vertical="center"/>
      <protection locked="0"/>
    </xf>
    <xf numFmtId="9" fontId="10" fillId="0" borderId="40" xfId="3" applyFont="1" applyFill="1" applyBorder="1" applyAlignment="1" applyProtection="1">
      <alignment horizontal="center" vertical="center"/>
      <protection locked="0"/>
    </xf>
    <xf numFmtId="0" fontId="10" fillId="0" borderId="40" xfId="3" applyNumberFormat="1" applyFont="1" applyFill="1" applyBorder="1" applyAlignment="1" applyProtection="1">
      <alignment horizontal="center" vertical="center"/>
      <protection locked="0"/>
    </xf>
    <xf numFmtId="9" fontId="0" fillId="0" borderId="40" xfId="3" applyFont="1" applyFill="1" applyBorder="1" applyAlignment="1" applyProtection="1">
      <alignment horizontal="center" vertical="center"/>
      <protection locked="0"/>
    </xf>
    <xf numFmtId="164" fontId="10" fillId="0" borderId="40" xfId="0" applyNumberFormat="1" applyFont="1" applyFill="1" applyBorder="1" applyAlignment="1" applyProtection="1">
      <alignment horizontal="center" vertical="center"/>
      <protection locked="0"/>
    </xf>
    <xf numFmtId="9" fontId="10" fillId="0" borderId="86" xfId="3" applyFont="1" applyBorder="1" applyAlignment="1" applyProtection="1">
      <alignment horizontal="center" vertical="center"/>
      <protection locked="0"/>
    </xf>
    <xf numFmtId="9" fontId="23" fillId="0" borderId="85" xfId="3" applyFont="1" applyFill="1" applyBorder="1" applyAlignment="1" applyProtection="1">
      <alignment horizontal="center" vertical="center"/>
      <protection locked="0"/>
    </xf>
    <xf numFmtId="0" fontId="10" fillId="0" borderId="85" xfId="3" applyNumberFormat="1" applyFont="1" applyFill="1" applyBorder="1" applyAlignment="1" applyProtection="1">
      <alignment horizontal="center" vertical="center"/>
      <protection locked="0"/>
    </xf>
    <xf numFmtId="9" fontId="0" fillId="0" borderId="85" xfId="3" applyFont="1" applyFill="1" applyBorder="1" applyAlignment="1" applyProtection="1">
      <alignment horizontal="center" vertical="center"/>
      <protection locked="0"/>
    </xf>
    <xf numFmtId="9" fontId="0" fillId="0" borderId="78" xfId="3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>
      <alignment vertical="top" wrapText="1"/>
    </xf>
    <xf numFmtId="0" fontId="0" fillId="20" borderId="4" xfId="0" applyFill="1" applyBorder="1"/>
    <xf numFmtId="9" fontId="10" fillId="11" borderId="16" xfId="3" applyFont="1" applyFill="1" applyBorder="1" applyAlignment="1" applyProtection="1">
      <alignment horizontal="center" vertical="center" wrapText="1"/>
      <protection locked="0"/>
    </xf>
    <xf numFmtId="167" fontId="0" fillId="4" borderId="67" xfId="3" applyNumberFormat="1" applyFont="1" applyFill="1" applyBorder="1" applyAlignment="1" applyProtection="1">
      <alignment horizontal="center"/>
    </xf>
    <xf numFmtId="167" fontId="11" fillId="0" borderId="70" xfId="3" applyNumberFormat="1" applyFont="1" applyFill="1" applyBorder="1" applyAlignment="1" applyProtection="1">
      <alignment horizontal="center"/>
      <protection locked="0"/>
    </xf>
    <xf numFmtId="164" fontId="11" fillId="4" borderId="67" xfId="0" applyNumberFormat="1" applyFont="1" applyFill="1" applyBorder="1" applyAlignment="1" applyProtection="1">
      <alignment horizontal="center"/>
    </xf>
    <xf numFmtId="164" fontId="11" fillId="0" borderId="70" xfId="0" applyNumberFormat="1" applyFont="1" applyFill="1" applyBorder="1" applyAlignment="1" applyProtection="1">
      <alignment horizontal="center"/>
      <protection locked="0"/>
    </xf>
    <xf numFmtId="164" fontId="10" fillId="0" borderId="70" xfId="0" applyNumberFormat="1" applyFont="1" applyFill="1" applyBorder="1" applyAlignment="1" applyProtection="1">
      <alignment horizontal="center"/>
      <protection locked="0"/>
    </xf>
    <xf numFmtId="9" fontId="10" fillId="4" borderId="62" xfId="3" applyNumberFormat="1" applyFont="1" applyFill="1" applyBorder="1" applyAlignment="1" applyProtection="1">
      <alignment horizontal="center"/>
    </xf>
    <xf numFmtId="0" fontId="0" fillId="6" borderId="0" xfId="0" applyFill="1" applyAlignment="1"/>
    <xf numFmtId="0" fontId="34" fillId="6" borderId="0" xfId="0" applyFont="1" applyFill="1" applyBorder="1" applyAlignment="1" applyProtection="1">
      <alignment horizontal="left"/>
    </xf>
    <xf numFmtId="0" fontId="0" fillId="9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7" borderId="9" xfId="0" applyFont="1" applyFill="1" applyBorder="1" applyAlignment="1" applyProtection="1">
      <alignment horizontal="center" vertical="center"/>
    </xf>
    <xf numFmtId="0" fontId="10" fillId="9" borderId="63" xfId="0" applyFont="1" applyFill="1" applyBorder="1" applyAlignment="1">
      <alignment horizontal="left"/>
    </xf>
    <xf numFmtId="9" fontId="16" fillId="6" borderId="52" xfId="3" applyFont="1" applyFill="1" applyBorder="1" applyAlignment="1" applyProtection="1">
      <alignment horizontal="center"/>
      <protection locked="0"/>
    </xf>
    <xf numFmtId="3" fontId="0" fillId="4" borderId="87" xfId="0" applyNumberFormat="1" applyFill="1" applyBorder="1" applyAlignment="1" applyProtection="1">
      <alignment horizontal="center"/>
    </xf>
    <xf numFmtId="0" fontId="16" fillId="6" borderId="52" xfId="0" applyFont="1" applyFill="1" applyBorder="1" applyAlignment="1" applyProtection="1">
      <alignment horizontal="left"/>
      <protection locked="0"/>
    </xf>
    <xf numFmtId="1" fontId="10" fillId="15" borderId="34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/>
    </xf>
    <xf numFmtId="1" fontId="10" fillId="0" borderId="84" xfId="0" applyNumberFormat="1" applyFont="1" applyBorder="1" applyAlignment="1" applyProtection="1">
      <alignment horizontal="center" vertical="center"/>
      <protection locked="0"/>
    </xf>
    <xf numFmtId="1" fontId="10" fillId="0" borderId="40" xfId="0" applyNumberFormat="1" applyFont="1" applyBorder="1" applyAlignment="1" applyProtection="1">
      <alignment horizontal="center" vertical="center"/>
      <protection locked="0"/>
    </xf>
    <xf numFmtId="1" fontId="0" fillId="0" borderId="85" xfId="3" applyNumberFormat="1" applyFont="1" applyFill="1" applyBorder="1" applyAlignment="1" applyProtection="1">
      <alignment horizontal="center" vertical="center"/>
      <protection locked="0"/>
    </xf>
    <xf numFmtId="1" fontId="10" fillId="10" borderId="80" xfId="3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/>
    </xf>
    <xf numFmtId="3" fontId="11" fillId="0" borderId="83" xfId="0" applyNumberFormat="1" applyFont="1" applyFill="1" applyBorder="1" applyAlignment="1" applyProtection="1">
      <alignment horizontal="center"/>
      <protection locked="0"/>
    </xf>
    <xf numFmtId="1" fontId="0" fillId="4" borderId="60" xfId="3" applyNumberFormat="1" applyFont="1" applyFill="1" applyBorder="1" applyAlignment="1" applyProtection="1">
      <alignment horizontal="center"/>
    </xf>
    <xf numFmtId="1" fontId="0" fillId="4" borderId="62" xfId="3" applyNumberFormat="1" applyFont="1" applyFill="1" applyBorder="1" applyAlignment="1" applyProtection="1">
      <alignment horizontal="center"/>
    </xf>
    <xf numFmtId="1" fontId="0" fillId="4" borderId="59" xfId="3" applyNumberFormat="1" applyFont="1" applyFill="1" applyBorder="1" applyAlignment="1" applyProtection="1">
      <alignment horizontal="center"/>
    </xf>
    <xf numFmtId="49" fontId="21" fillId="9" borderId="48" xfId="0" applyNumberFormat="1" applyFont="1" applyFill="1" applyBorder="1"/>
    <xf numFmtId="0" fontId="10" fillId="9" borderId="40" xfId="0" applyFont="1" applyFill="1" applyBorder="1" applyAlignment="1">
      <alignment wrapText="1"/>
    </xf>
    <xf numFmtId="0" fontId="0" fillId="9" borderId="50" xfId="0" applyFill="1" applyBorder="1" applyAlignment="1">
      <alignment horizontal="center" vertical="center"/>
    </xf>
    <xf numFmtId="9" fontId="0" fillId="23" borderId="108" xfId="3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6" borderId="0" xfId="0" applyFill="1" applyBorder="1" applyAlignment="1">
      <alignment horizontal="left" vertical="top" wrapText="1"/>
    </xf>
    <xf numFmtId="0" fontId="0" fillId="24" borderId="9" xfId="0" applyFill="1" applyBorder="1"/>
    <xf numFmtId="0" fontId="0" fillId="24" borderId="7" xfId="0" applyFill="1" applyBorder="1"/>
    <xf numFmtId="0" fontId="0" fillId="24" borderId="8" xfId="0" applyFill="1" applyBorder="1"/>
    <xf numFmtId="0" fontId="0" fillId="24" borderId="11" xfId="0" applyFill="1" applyBorder="1"/>
    <xf numFmtId="0" fontId="0" fillId="24" borderId="0" xfId="0" applyFill="1" applyBorder="1"/>
    <xf numFmtId="0" fontId="0" fillId="24" borderId="12" xfId="0" applyFill="1" applyBorder="1"/>
    <xf numFmtId="49" fontId="39" fillId="24" borderId="15" xfId="2" applyNumberFormat="1" applyFont="1" applyFill="1" applyBorder="1" applyAlignment="1" applyProtection="1">
      <alignment horizontal="center" vertical="center"/>
      <protection locked="0"/>
    </xf>
    <xf numFmtId="49" fontId="39" fillId="24" borderId="4" xfId="2" applyNumberFormat="1" applyFont="1" applyFill="1" applyBorder="1" applyAlignment="1" applyProtection="1">
      <alignment horizontal="center" vertical="center"/>
      <protection locked="0"/>
    </xf>
    <xf numFmtId="49" fontId="49" fillId="24" borderId="0" xfId="2" applyNumberFormat="1" applyFont="1" applyFill="1" applyBorder="1" applyAlignment="1" applyProtection="1">
      <alignment horizontal="center" vertical="center"/>
      <protection locked="0"/>
    </xf>
    <xf numFmtId="49" fontId="39" fillId="24" borderId="0" xfId="2" applyNumberFormat="1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3" fillId="21" borderId="88" xfId="0" applyFont="1" applyFill="1" applyBorder="1" applyAlignment="1">
      <alignment horizontal="center" vertical="center" wrapText="1"/>
    </xf>
    <xf numFmtId="0" fontId="13" fillId="21" borderId="0" xfId="0" applyFont="1" applyFill="1" applyBorder="1" applyAlignment="1">
      <alignment horizontal="center" vertical="center" wrapText="1"/>
    </xf>
    <xf numFmtId="0" fontId="13" fillId="21" borderId="89" xfId="0" applyFont="1" applyFill="1" applyBorder="1" applyAlignment="1">
      <alignment horizontal="center" vertical="center" wrapText="1"/>
    </xf>
    <xf numFmtId="0" fontId="14" fillId="24" borderId="0" xfId="2" applyFont="1" applyFill="1" applyBorder="1" applyAlignment="1" applyProtection="1">
      <alignment horizontal="center" vertical="center"/>
    </xf>
    <xf numFmtId="0" fontId="14" fillId="24" borderId="90" xfId="2" applyFont="1" applyFill="1" applyBorder="1" applyAlignment="1" applyProtection="1">
      <alignment horizontal="center" vertical="center"/>
    </xf>
    <xf numFmtId="0" fontId="14" fillId="24" borderId="2" xfId="2" applyFont="1" applyFill="1" applyBorder="1" applyAlignment="1" applyProtection="1">
      <alignment horizontal="center" vertical="center"/>
    </xf>
    <xf numFmtId="0" fontId="14" fillId="24" borderId="91" xfId="2" applyFont="1" applyFill="1" applyBorder="1" applyAlignment="1" applyProtection="1">
      <alignment horizontal="center" vertical="center"/>
    </xf>
    <xf numFmtId="44" fontId="35" fillId="19" borderId="15" xfId="1" applyFont="1" applyFill="1" applyBorder="1" applyAlignment="1" applyProtection="1">
      <alignment horizontal="center" vertical="center"/>
    </xf>
    <xf numFmtId="44" fontId="35" fillId="19" borderId="6" xfId="1" applyFont="1" applyFill="1" applyBorder="1" applyAlignment="1" applyProtection="1">
      <alignment horizontal="center" vertical="center"/>
    </xf>
    <xf numFmtId="0" fontId="38" fillId="21" borderId="92" xfId="0" applyNumberFormat="1" applyFont="1" applyFill="1" applyBorder="1" applyAlignment="1" applyProtection="1">
      <alignment vertical="center"/>
      <protection locked="0"/>
    </xf>
    <xf numFmtId="0" fontId="38" fillId="21" borderId="93" xfId="0" applyNumberFormat="1" applyFont="1" applyFill="1" applyBorder="1" applyAlignment="1" applyProtection="1">
      <alignment vertical="center"/>
      <protection locked="0"/>
    </xf>
    <xf numFmtId="0" fontId="38" fillId="21" borderId="94" xfId="0" applyNumberFormat="1" applyFont="1" applyFill="1" applyBorder="1" applyAlignment="1" applyProtection="1">
      <alignment vertical="center"/>
      <protection locked="0"/>
    </xf>
    <xf numFmtId="0" fontId="9" fillId="21" borderId="95" xfId="0" applyFont="1" applyFill="1" applyBorder="1" applyAlignment="1">
      <alignment horizontal="right" vertical="center"/>
    </xf>
    <xf numFmtId="0" fontId="17" fillId="21" borderId="95" xfId="0" applyFont="1" applyFill="1" applyBorder="1" applyAlignment="1">
      <alignment horizontal="left" vertical="center"/>
    </xf>
    <xf numFmtId="0" fontId="15" fillId="21" borderId="95" xfId="2" applyFill="1" applyBorder="1" applyAlignment="1" applyProtection="1">
      <alignment horizontal="left" vertical="center"/>
    </xf>
    <xf numFmtId="0" fontId="46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10" fillId="6" borderId="0" xfId="0" applyFont="1" applyFill="1" applyBorder="1" applyAlignment="1">
      <alignment horizontal="left" vertical="top" wrapText="1"/>
    </xf>
    <xf numFmtId="44" fontId="0" fillId="6" borderId="0" xfId="4" applyFont="1" applyFill="1" applyBorder="1" applyAlignment="1">
      <alignment horizontal="left" vertical="top" wrapText="1"/>
    </xf>
    <xf numFmtId="44" fontId="0" fillId="0" borderId="0" xfId="4" applyFont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49" fontId="35" fillId="19" borderId="15" xfId="0" applyNumberFormat="1" applyFont="1" applyFill="1" applyBorder="1" applyAlignment="1" applyProtection="1">
      <alignment horizontal="center" vertical="center"/>
    </xf>
    <xf numFmtId="49" fontId="35" fillId="19" borderId="5" xfId="0" applyNumberFormat="1" applyFont="1" applyFill="1" applyBorder="1" applyAlignment="1" applyProtection="1">
      <alignment horizontal="center" vertical="center"/>
    </xf>
    <xf numFmtId="49" fontId="35" fillId="19" borderId="6" xfId="0" applyNumberFormat="1" applyFont="1" applyFill="1" applyBorder="1" applyAlignment="1" applyProtection="1">
      <alignment horizontal="center" vertical="center"/>
    </xf>
    <xf numFmtId="0" fontId="30" fillId="8" borderId="15" xfId="0" applyFont="1" applyFill="1" applyBorder="1" applyAlignment="1">
      <alignment horizontal="center" vertical="top"/>
    </xf>
    <xf numFmtId="0" fontId="30" fillId="8" borderId="5" xfId="0" applyFont="1" applyFill="1" applyBorder="1" applyAlignment="1">
      <alignment horizontal="center" vertical="top"/>
    </xf>
    <xf numFmtId="0" fontId="30" fillId="8" borderId="6" xfId="0" applyFont="1" applyFill="1" applyBorder="1" applyAlignment="1">
      <alignment horizontal="center" vertical="top"/>
    </xf>
    <xf numFmtId="9" fontId="30" fillId="8" borderId="15" xfId="3" applyFont="1" applyFill="1" applyBorder="1" applyAlignment="1">
      <alignment horizontal="center" vertical="center" wrapText="1"/>
    </xf>
    <xf numFmtId="9" fontId="30" fillId="8" borderId="5" xfId="3" applyFont="1" applyFill="1" applyBorder="1" applyAlignment="1">
      <alignment horizontal="center" vertical="center" wrapText="1"/>
    </xf>
    <xf numFmtId="9" fontId="30" fillId="8" borderId="6" xfId="3" applyFont="1" applyFill="1" applyBorder="1" applyAlignment="1">
      <alignment horizontal="center" vertical="center" wrapText="1"/>
    </xf>
    <xf numFmtId="0" fontId="36" fillId="22" borderId="96" xfId="0" applyNumberFormat="1" applyFont="1" applyFill="1" applyBorder="1" applyAlignment="1" applyProtection="1">
      <alignment horizontal="center" vertical="center"/>
    </xf>
    <xf numFmtId="0" fontId="36" fillId="22" borderId="97" xfId="0" applyNumberFormat="1" applyFont="1" applyFill="1" applyBorder="1" applyAlignment="1" applyProtection="1">
      <alignment horizontal="center" vertical="center"/>
    </xf>
    <xf numFmtId="0" fontId="36" fillId="22" borderId="98" xfId="0" applyNumberFormat="1" applyFont="1" applyFill="1" applyBorder="1" applyAlignment="1" applyProtection="1">
      <alignment horizontal="center" vertical="center"/>
    </xf>
    <xf numFmtId="0" fontId="30" fillId="3" borderId="15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top"/>
    </xf>
    <xf numFmtId="0" fontId="9" fillId="8" borderId="5" xfId="0" applyFont="1" applyFill="1" applyBorder="1" applyAlignment="1">
      <alignment horizontal="center" vertical="top"/>
    </xf>
    <xf numFmtId="0" fontId="10" fillId="9" borderId="1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30" fillId="8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 applyProtection="1">
      <alignment horizontal="center" vertical="center"/>
    </xf>
    <xf numFmtId="0" fontId="9" fillId="7" borderId="8" xfId="0" applyFont="1" applyFill="1" applyBorder="1" applyAlignment="1" applyProtection="1">
      <alignment horizontal="center" vertical="center"/>
    </xf>
    <xf numFmtId="49" fontId="27" fillId="13" borderId="0" xfId="0" applyNumberFormat="1" applyFont="1" applyFill="1" applyBorder="1" applyAlignment="1" applyProtection="1">
      <alignment vertical="center"/>
    </xf>
    <xf numFmtId="49" fontId="27" fillId="13" borderId="12" xfId="0" applyNumberFormat="1" applyFont="1" applyFill="1" applyBorder="1" applyAlignment="1" applyProtection="1">
      <alignment vertical="center"/>
    </xf>
    <xf numFmtId="49" fontId="37" fillId="13" borderId="5" xfId="0" applyNumberFormat="1" applyFont="1" applyFill="1" applyBorder="1" applyAlignment="1" applyProtection="1">
      <alignment vertical="center"/>
    </xf>
    <xf numFmtId="49" fontId="37" fillId="13" borderId="6" xfId="0" applyNumberFormat="1" applyFont="1" applyFill="1" applyBorder="1" applyAlignment="1" applyProtection="1">
      <alignment vertical="center"/>
    </xf>
    <xf numFmtId="49" fontId="27" fillId="13" borderId="5" xfId="0" applyNumberFormat="1" applyFont="1" applyFill="1" applyBorder="1" applyAlignment="1" applyProtection="1">
      <alignment vertical="center"/>
    </xf>
    <xf numFmtId="49" fontId="27" fillId="13" borderId="6" xfId="0" applyNumberFormat="1" applyFont="1" applyFill="1" applyBorder="1" applyAlignment="1" applyProtection="1">
      <alignment vertical="center"/>
    </xf>
    <xf numFmtId="49" fontId="37" fillId="13" borderId="10" xfId="0" applyNumberFormat="1" applyFont="1" applyFill="1" applyBorder="1" applyAlignment="1" applyProtection="1">
      <alignment vertical="center"/>
    </xf>
    <xf numFmtId="49" fontId="37" fillId="13" borderId="3" xfId="0" applyNumberFormat="1" applyFont="1" applyFill="1" applyBorder="1" applyAlignment="1" applyProtection="1">
      <alignment vertical="center"/>
    </xf>
    <xf numFmtId="49" fontId="37" fillId="13" borderId="7" xfId="0" applyNumberFormat="1" applyFont="1" applyFill="1" applyBorder="1" applyAlignment="1" applyProtection="1">
      <alignment vertical="center"/>
    </xf>
    <xf numFmtId="49" fontId="37" fillId="13" borderId="8" xfId="0" applyNumberFormat="1" applyFont="1" applyFill="1" applyBorder="1" applyAlignment="1" applyProtection="1">
      <alignment vertical="center"/>
    </xf>
    <xf numFmtId="0" fontId="9" fillId="8" borderId="6" xfId="0" applyFont="1" applyFill="1" applyBorder="1" applyAlignment="1">
      <alignment horizontal="center" vertical="top"/>
    </xf>
    <xf numFmtId="0" fontId="16" fillId="0" borderId="31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106" xfId="0" applyFont="1" applyBorder="1" applyAlignment="1">
      <alignment vertical="top" wrapText="1"/>
    </xf>
    <xf numFmtId="0" fontId="16" fillId="0" borderId="107" xfId="0" applyFont="1" applyBorder="1" applyAlignment="1">
      <alignment vertical="top" wrapText="1"/>
    </xf>
    <xf numFmtId="0" fontId="30" fillId="0" borderId="31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0" fontId="16" fillId="0" borderId="102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103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30" fillId="0" borderId="99" xfId="0" applyFont="1" applyBorder="1" applyAlignment="1">
      <alignment vertical="top" wrapText="1"/>
    </xf>
    <xf numFmtId="0" fontId="30" fillId="0" borderId="100" xfId="0" applyFont="1" applyBorder="1" applyAlignment="1">
      <alignment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04" xfId="0" applyFont="1" applyBorder="1" applyAlignment="1">
      <alignment horizontal="center" vertical="top" wrapText="1"/>
    </xf>
    <xf numFmtId="0" fontId="16" fillId="0" borderId="105" xfId="0" applyFont="1" applyBorder="1" applyAlignment="1">
      <alignment horizontal="center" vertical="top" wrapText="1"/>
    </xf>
    <xf numFmtId="0" fontId="16" fillId="0" borderId="19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27" fillId="0" borderId="103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10" fillId="0" borderId="99" xfId="0" applyFont="1" applyBorder="1" applyAlignment="1">
      <alignment vertical="top" wrapText="1"/>
    </xf>
    <xf numFmtId="0" fontId="10" fillId="0" borderId="100" xfId="0" applyFont="1" applyBorder="1" applyAlignment="1">
      <alignment vertical="top" wrapText="1"/>
    </xf>
    <xf numFmtId="0" fontId="10" fillId="0" borderId="101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0" fillId="6" borderId="9" xfId="0" applyFill="1" applyBorder="1"/>
    <xf numFmtId="0" fontId="45" fillId="6" borderId="7" xfId="0" applyFont="1" applyFill="1" applyBorder="1" applyAlignment="1">
      <alignment horizontal="left" vertical="top" wrapText="1"/>
    </xf>
    <xf numFmtId="0" fontId="0" fillId="6" borderId="8" xfId="0" applyFill="1" applyBorder="1"/>
    <xf numFmtId="0" fontId="0" fillId="0" borderId="109" xfId="0" applyBorder="1" applyAlignment="1">
      <alignment horizontal="justify" vertical="top" wrapText="1"/>
    </xf>
    <xf numFmtId="2" fontId="10" fillId="15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13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34" fillId="6" borderId="15" xfId="0" applyFont="1" applyFill="1" applyBorder="1" applyAlignment="1" applyProtection="1">
      <alignment horizontal="left"/>
    </xf>
    <xf numFmtId="0" fontId="17" fillId="6" borderId="5" xfId="0" applyFont="1" applyFill="1" applyBorder="1" applyAlignment="1" applyProtection="1">
      <alignment horizontal="left"/>
    </xf>
    <xf numFmtId="0" fontId="34" fillId="6" borderId="5" xfId="0" applyFont="1" applyFill="1" applyBorder="1" applyAlignment="1" applyProtection="1">
      <alignment horizontal="left"/>
    </xf>
    <xf numFmtId="0" fontId="34" fillId="6" borderId="111" xfId="0" applyFont="1" applyFill="1" applyBorder="1" applyAlignment="1" applyProtection="1">
      <alignment horizontal="left"/>
    </xf>
    <xf numFmtId="0" fontId="0" fillId="6" borderId="5" xfId="0" applyFill="1" applyBorder="1" applyAlignment="1"/>
    <xf numFmtId="0" fontId="0" fillId="6" borderId="6" xfId="0" applyFill="1" applyBorder="1" applyAlignment="1"/>
    <xf numFmtId="49" fontId="49" fillId="24" borderId="0" xfId="2" applyNumberFormat="1" applyFont="1" applyFill="1" applyBorder="1" applyAlignment="1" applyProtection="1">
      <alignment horizontal="center" vertical="center"/>
      <protection locked="0"/>
    </xf>
  </cellXfs>
  <cellStyles count="5">
    <cellStyle name="Euro" xfId="1"/>
    <cellStyle name="Hyperlink" xfId="2" builtinId="8"/>
    <cellStyle name="Prozent" xfId="3" builtinId="5"/>
    <cellStyle name="Standard" xfId="0" builtinId="0"/>
    <cellStyle name="Währung" xfId="4" builtinId="4"/>
  </cellStyles>
  <dxfs count="1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indexed="10"/>
      </font>
      <fill>
        <patternFill patternType="solid">
          <bgColor indexed="15"/>
        </patternFill>
      </fill>
    </dxf>
    <dxf>
      <font>
        <condense val="0"/>
        <extend val="0"/>
        <color indexed="10"/>
      </font>
      <fill>
        <patternFill patternType="solid">
          <bgColor indexed="15"/>
        </patternFill>
      </fill>
    </dxf>
    <dxf>
      <font>
        <condense val="0"/>
        <extend val="0"/>
        <color indexed="10"/>
      </font>
      <fill>
        <patternFill patternType="solid">
          <bgColor indexed="15"/>
        </patternFill>
      </fill>
    </dxf>
    <dxf>
      <font>
        <condense val="0"/>
        <extend val="0"/>
        <color indexed="10"/>
      </font>
      <fill>
        <patternFill patternType="solid">
          <bgColor indexed="15"/>
        </patternFill>
      </fill>
    </dxf>
    <dxf>
      <font>
        <condense val="0"/>
        <extend val="0"/>
        <color indexed="10"/>
      </font>
      <fill>
        <patternFill patternType="solid">
          <bgColor indexed="15"/>
        </patternFill>
      </fill>
    </dxf>
    <dxf>
      <font>
        <condense val="0"/>
        <extend val="0"/>
        <color indexed="10"/>
      </font>
      <fill>
        <patternFill patternType="solid">
          <bgColor indexed="15"/>
        </patternFill>
      </fill>
    </dxf>
    <dxf>
      <font>
        <condense val="0"/>
        <extend val="0"/>
        <color indexed="10"/>
      </font>
      <fill>
        <patternFill patternType="solid">
          <bgColor indexed="15"/>
        </patternFill>
      </fill>
    </dxf>
  </dxfs>
  <tableStyles count="0" defaultTableStyle="TableStyleMedium2" defaultPivotStyle="PivotStyleLight16"/>
  <colors>
    <mruColors>
      <color rgb="FF0089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9</xdr:row>
      <xdr:rowOff>114300</xdr:rowOff>
    </xdr:from>
    <xdr:to>
      <xdr:col>9</xdr:col>
      <xdr:colOff>590550</xdr:colOff>
      <xdr:row>12</xdr:row>
      <xdr:rowOff>123825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2733675" y="1571625"/>
          <a:ext cx="44577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3152" tIns="54864" rIns="73152" bIns="0" anchor="t" upright="1"/>
        <a:lstStyle/>
        <a:p>
          <a:pPr algn="ctr" rtl="0">
            <a:defRPr sz="1000"/>
          </a:pPr>
          <a:r>
            <a:rPr lang="de-DE" sz="3600" b="0" i="0" u="none" strike="noStrike" baseline="0">
              <a:solidFill>
                <a:srgbClr val="000000"/>
              </a:solidFill>
              <a:latin typeface="Arial"/>
              <a:cs typeface="Arial"/>
            </a:rPr>
            <a:t>Rechner Biogasgülle </a:t>
          </a:r>
        </a:p>
      </xdr:txBody>
    </xdr:sp>
    <xdr:clientData/>
  </xdr:twoCellAnchor>
  <xdr:twoCellAnchor editAs="oneCell">
    <xdr:from>
      <xdr:col>7</xdr:col>
      <xdr:colOff>57150</xdr:colOff>
      <xdr:row>0</xdr:row>
      <xdr:rowOff>0</xdr:rowOff>
    </xdr:from>
    <xdr:to>
      <xdr:col>10</xdr:col>
      <xdr:colOff>739521</xdr:colOff>
      <xdr:row>4</xdr:row>
      <xdr:rowOff>132588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76825" y="0"/>
          <a:ext cx="3054096" cy="780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/42.09_NAWARO/Arbeit/Biogas/Muster_Modelle/Biogasrechner/Biogas_Ainf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ogas_Ainfo"/>
      <sheetName val="Pulldowns"/>
      <sheetName val="Richtwerte_Milch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.reinhold@jena.tll.de" TargetMode="External"/><Relationship Id="rId1" Type="http://schemas.openxmlformats.org/officeDocument/2006/relationships/hyperlink" Target="mailto:e.graefe@jena.tll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32"/>
  <sheetViews>
    <sheetView showGridLines="0" tabSelected="1" zoomScaleNormal="100" workbookViewId="0">
      <selection activeCell="C22" sqref="C22:E23"/>
    </sheetView>
  </sheetViews>
  <sheetFormatPr baseColWidth="10" defaultRowHeight="12.75"/>
  <cols>
    <col min="1" max="1" width="3.5703125" style="230" customWidth="1"/>
    <col min="2" max="2" width="11.85546875" customWidth="1"/>
    <col min="3" max="3" width="12.42578125" customWidth="1"/>
    <col min="4" max="11" width="11.85546875" customWidth="1"/>
    <col min="12" max="12" width="20.5703125" customWidth="1"/>
  </cols>
  <sheetData>
    <row r="1" spans="2:12">
      <c r="B1" s="563"/>
      <c r="C1" s="564"/>
      <c r="D1" s="564"/>
      <c r="E1" s="564"/>
      <c r="F1" s="564"/>
      <c r="G1" s="564"/>
      <c r="H1" s="564"/>
      <c r="I1" s="564"/>
      <c r="J1" s="564"/>
      <c r="K1" s="565"/>
      <c r="L1" s="242"/>
    </row>
    <row r="2" spans="2:12">
      <c r="B2" s="566"/>
      <c r="C2" s="567"/>
      <c r="D2" s="567"/>
      <c r="E2" s="567"/>
      <c r="F2" s="567"/>
      <c r="G2" s="567"/>
      <c r="H2" s="567"/>
      <c r="I2" s="567"/>
      <c r="J2" s="567"/>
      <c r="K2" s="568"/>
      <c r="L2" s="242"/>
    </row>
    <row r="3" spans="2:12">
      <c r="B3" s="566"/>
      <c r="C3" s="567"/>
      <c r="D3" s="567"/>
      <c r="E3" s="567"/>
      <c r="F3" s="567"/>
      <c r="G3" s="567"/>
      <c r="H3" s="567"/>
      <c r="I3" s="567"/>
      <c r="J3" s="567"/>
      <c r="K3" s="568"/>
      <c r="L3" s="242"/>
    </row>
    <row r="4" spans="2:12">
      <c r="B4" s="566"/>
      <c r="C4" s="567"/>
      <c r="D4" s="567"/>
      <c r="E4" s="567"/>
      <c r="F4" s="567"/>
      <c r="G4" s="567"/>
      <c r="H4" s="567"/>
      <c r="I4" s="567"/>
      <c r="J4" s="567"/>
      <c r="K4" s="568"/>
      <c r="L4" s="242"/>
    </row>
    <row r="5" spans="2:12">
      <c r="B5" s="566"/>
      <c r="C5" s="567"/>
      <c r="D5" s="567"/>
      <c r="E5" s="567"/>
      <c r="F5" s="567"/>
      <c r="G5" s="567"/>
      <c r="H5" s="567"/>
      <c r="I5" s="567"/>
      <c r="J5" s="567"/>
      <c r="K5" s="568"/>
      <c r="L5" s="242"/>
    </row>
    <row r="6" spans="2:12">
      <c r="B6" s="566"/>
      <c r="C6" s="567"/>
      <c r="D6" s="567"/>
      <c r="E6" s="567"/>
      <c r="F6" s="567"/>
      <c r="G6" s="567"/>
      <c r="H6" s="567"/>
      <c r="I6" s="567"/>
      <c r="J6" s="567"/>
      <c r="K6" s="568"/>
      <c r="L6" s="242"/>
    </row>
    <row r="7" spans="2:12">
      <c r="B7" s="566"/>
      <c r="C7" s="567"/>
      <c r="D7" s="567"/>
      <c r="E7" s="567"/>
      <c r="F7" s="567"/>
      <c r="G7" s="567"/>
      <c r="H7" s="567"/>
      <c r="I7" s="567"/>
      <c r="J7" s="567"/>
      <c r="K7" s="568"/>
      <c r="L7" s="242"/>
    </row>
    <row r="8" spans="2:12">
      <c r="B8" s="22"/>
      <c r="C8" s="23"/>
      <c r="D8" s="23"/>
      <c r="E8" s="23"/>
      <c r="F8" s="23"/>
      <c r="G8" s="23"/>
      <c r="H8" s="23"/>
      <c r="I8" s="23"/>
      <c r="J8" s="23"/>
      <c r="K8" s="24"/>
      <c r="L8" s="242"/>
    </row>
    <row r="9" spans="2:12">
      <c r="B9" s="22"/>
      <c r="C9" s="23"/>
      <c r="D9" s="23"/>
      <c r="E9" s="23"/>
      <c r="F9" s="23"/>
      <c r="G9" s="23"/>
      <c r="H9" s="23"/>
      <c r="I9" s="23"/>
      <c r="J9" s="23"/>
      <c r="K9" s="24"/>
      <c r="L9" s="242"/>
    </row>
    <row r="10" spans="2:12">
      <c r="B10" s="22"/>
      <c r="C10" s="23"/>
      <c r="D10" s="23"/>
      <c r="E10" s="23"/>
      <c r="F10" s="23"/>
      <c r="G10" s="23"/>
      <c r="H10" s="23"/>
      <c r="I10" s="23"/>
      <c r="J10" s="23"/>
      <c r="K10" s="24"/>
      <c r="L10" s="242"/>
    </row>
    <row r="11" spans="2:12">
      <c r="B11" s="22"/>
      <c r="C11" s="23"/>
      <c r="D11" s="23"/>
      <c r="E11" s="23"/>
      <c r="F11" s="23"/>
      <c r="G11" s="23"/>
      <c r="H11" s="23"/>
      <c r="I11" s="23"/>
      <c r="J11" s="23"/>
      <c r="K11" s="24"/>
      <c r="L11" s="242"/>
    </row>
    <row r="12" spans="2:12" ht="24" customHeight="1">
      <c r="B12" s="22"/>
      <c r="C12" s="23"/>
      <c r="D12" s="23"/>
      <c r="E12" s="23"/>
      <c r="F12" s="23"/>
      <c r="G12" s="23"/>
      <c r="H12" s="23"/>
      <c r="I12" s="23"/>
      <c r="J12" s="23"/>
      <c r="K12" s="24"/>
      <c r="L12" s="242"/>
    </row>
    <row r="13" spans="2:12" ht="24" customHeight="1">
      <c r="B13" s="22"/>
      <c r="C13" s="23"/>
      <c r="D13" s="23"/>
      <c r="E13" s="23"/>
      <c r="F13" s="23"/>
      <c r="G13" s="23"/>
      <c r="H13" s="23"/>
      <c r="I13" s="23"/>
      <c r="J13" s="23"/>
      <c r="K13" s="24"/>
      <c r="L13" s="242"/>
    </row>
    <row r="14" spans="2:12" ht="31.5" customHeight="1">
      <c r="B14" s="573" t="s">
        <v>353</v>
      </c>
      <c r="C14" s="574"/>
      <c r="D14" s="574"/>
      <c r="E14" s="574"/>
      <c r="F14" s="574"/>
      <c r="G14" s="574"/>
      <c r="H14" s="574"/>
      <c r="I14" s="574"/>
      <c r="J14" s="574"/>
      <c r="K14" s="575"/>
      <c r="L14" s="242"/>
    </row>
    <row r="15" spans="2:12" ht="12" customHeight="1">
      <c r="B15" s="573"/>
      <c r="C15" s="574"/>
      <c r="D15" s="574"/>
      <c r="E15" s="574"/>
      <c r="F15" s="574"/>
      <c r="G15" s="574"/>
      <c r="H15" s="574"/>
      <c r="I15" s="574"/>
      <c r="J15" s="574"/>
      <c r="K15" s="575"/>
      <c r="L15" s="242"/>
    </row>
    <row r="16" spans="2:12" ht="12.75" customHeight="1">
      <c r="B16" s="22"/>
      <c r="C16" s="576" t="s">
        <v>401</v>
      </c>
      <c r="D16" s="576"/>
      <c r="E16" s="576"/>
      <c r="F16" s="576"/>
      <c r="G16" s="576"/>
      <c r="H16" s="576"/>
      <c r="I16" s="576"/>
      <c r="J16" s="576"/>
      <c r="K16" s="24"/>
      <c r="L16" s="242"/>
    </row>
    <row r="17" spans="1:13">
      <c r="B17" s="22"/>
      <c r="C17" s="577"/>
      <c r="D17" s="577"/>
      <c r="E17" s="577"/>
      <c r="F17" s="577"/>
      <c r="G17" s="577"/>
      <c r="H17" s="577"/>
      <c r="I17" s="577"/>
      <c r="J17" s="577"/>
      <c r="K17" s="24"/>
      <c r="L17" s="242"/>
    </row>
    <row r="18" spans="1:13">
      <c r="B18" s="22"/>
      <c r="C18" s="577"/>
      <c r="D18" s="577"/>
      <c r="E18" s="577"/>
      <c r="F18" s="577"/>
      <c r="G18" s="577"/>
      <c r="H18" s="577"/>
      <c r="I18" s="577"/>
      <c r="J18" s="577"/>
      <c r="K18" s="24"/>
      <c r="L18" s="242"/>
    </row>
    <row r="19" spans="1:13" ht="12.75" customHeight="1">
      <c r="B19" s="22"/>
      <c r="C19" s="577"/>
      <c r="D19" s="577"/>
      <c r="E19" s="577"/>
      <c r="F19" s="577"/>
      <c r="G19" s="577"/>
      <c r="H19" s="577"/>
      <c r="I19" s="577"/>
      <c r="J19" s="577"/>
      <c r="K19" s="24"/>
      <c r="L19" s="242"/>
    </row>
    <row r="20" spans="1:13" ht="6.75" customHeight="1">
      <c r="B20" s="22"/>
      <c r="C20" s="578"/>
      <c r="D20" s="578"/>
      <c r="E20" s="578"/>
      <c r="F20" s="578"/>
      <c r="G20" s="578"/>
      <c r="H20" s="578"/>
      <c r="I20" s="578"/>
      <c r="J20" s="578"/>
      <c r="K20" s="24"/>
      <c r="L20" s="242"/>
    </row>
    <row r="21" spans="1:13" ht="15" customHeight="1">
      <c r="B21" s="22"/>
      <c r="C21" s="23"/>
      <c r="D21" s="23"/>
      <c r="E21" s="23"/>
      <c r="F21" s="23"/>
      <c r="G21" s="23"/>
      <c r="H21" s="23"/>
      <c r="I21" s="23"/>
      <c r="J21" s="23"/>
      <c r="K21" s="24"/>
      <c r="L21" s="242"/>
    </row>
    <row r="22" spans="1:13" ht="13.15" customHeight="1">
      <c r="B22" s="22"/>
      <c r="C22" s="579" t="s">
        <v>64</v>
      </c>
      <c r="D22" s="579"/>
      <c r="E22" s="580"/>
      <c r="F22" s="23"/>
      <c r="G22" s="23"/>
      <c r="H22" s="583" t="s">
        <v>324</v>
      </c>
      <c r="I22" s="584"/>
      <c r="J22" s="23"/>
      <c r="K22" s="24"/>
      <c r="L22" s="242"/>
    </row>
    <row r="23" spans="1:13" ht="13.15" customHeight="1" thickBot="1">
      <c r="B23" s="22"/>
      <c r="C23" s="581"/>
      <c r="D23" s="581"/>
      <c r="E23" s="582"/>
      <c r="F23" s="23"/>
      <c r="G23" s="439"/>
      <c r="H23" s="569" t="s">
        <v>72</v>
      </c>
      <c r="I23" s="570" t="s">
        <v>85</v>
      </c>
      <c r="J23" s="23"/>
      <c r="K23" s="24"/>
      <c r="L23" s="242"/>
    </row>
    <row r="24" spans="1:13" ht="13.5" thickTop="1">
      <c r="B24" s="22"/>
      <c r="C24" s="23"/>
      <c r="D24" s="23"/>
      <c r="E24" s="23"/>
      <c r="F24" s="23"/>
      <c r="G24" s="23"/>
      <c r="I24" s="23"/>
      <c r="J24" s="23"/>
      <c r="K24" s="24"/>
      <c r="L24" s="242"/>
    </row>
    <row r="25" spans="1:13" ht="7.5" customHeight="1">
      <c r="B25" s="22"/>
      <c r="C25" s="25"/>
      <c r="D25" s="23"/>
      <c r="E25" s="23"/>
      <c r="F25" s="23"/>
      <c r="G25" s="23"/>
      <c r="H25" s="23"/>
      <c r="I25" s="23"/>
      <c r="J25" s="23"/>
      <c r="K25" s="24"/>
      <c r="L25" s="242"/>
    </row>
    <row r="26" spans="1:13" s="19" customFormat="1" ht="21" customHeight="1">
      <c r="A26" s="429"/>
      <c r="B26" s="26"/>
      <c r="C26" s="589" t="s">
        <v>326</v>
      </c>
      <c r="D26" s="589"/>
      <c r="E26" s="589"/>
      <c r="F26" s="590" t="s">
        <v>427</v>
      </c>
      <c r="G26" s="590"/>
      <c r="H26" s="590"/>
      <c r="I26" s="588" t="s">
        <v>428</v>
      </c>
      <c r="J26" s="588"/>
      <c r="K26" s="27"/>
      <c r="L26" s="243"/>
    </row>
    <row r="27" spans="1:13" ht="13.5" thickBot="1">
      <c r="B27" s="22"/>
      <c r="C27" s="23"/>
      <c r="D27" s="23"/>
      <c r="E27" s="23"/>
      <c r="F27" s="23"/>
      <c r="G27" s="23"/>
      <c r="H27" s="23"/>
      <c r="I27" s="23"/>
      <c r="J27" s="23"/>
      <c r="K27" s="24"/>
      <c r="L27" s="242"/>
      <c r="M27" s="92"/>
    </row>
    <row r="28" spans="1:13" ht="15" thickBot="1">
      <c r="B28" s="22"/>
      <c r="C28" s="410" t="s">
        <v>325</v>
      </c>
      <c r="D28" s="585" t="s">
        <v>398</v>
      </c>
      <c r="E28" s="586"/>
      <c r="F28" s="586" t="s">
        <v>88</v>
      </c>
      <c r="G28" s="587"/>
      <c r="H28" s="23"/>
      <c r="I28" s="23"/>
      <c r="J28" s="28" t="s">
        <v>420</v>
      </c>
      <c r="K28" s="24"/>
      <c r="L28" s="242"/>
    </row>
    <row r="29" spans="1:13" ht="9.75" customHeight="1">
      <c r="B29" s="29"/>
      <c r="C29" s="30"/>
      <c r="D29" s="241" t="s">
        <v>354</v>
      </c>
      <c r="E29" s="30"/>
      <c r="F29" s="30"/>
      <c r="G29" s="30"/>
      <c r="H29" s="30"/>
      <c r="I29" s="30"/>
      <c r="J29" s="30"/>
      <c r="K29" s="31"/>
      <c r="L29" s="242"/>
    </row>
    <row r="30" spans="1:13"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</row>
    <row r="31" spans="1:13"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</row>
    <row r="32" spans="1:13"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</row>
  </sheetData>
  <sheetProtection password="DAC5" sheet="1" objects="1" scenarios="1"/>
  <mergeCells count="8">
    <mergeCell ref="B14:K15"/>
    <mergeCell ref="C16:J20"/>
    <mergeCell ref="C22:E23"/>
    <mergeCell ref="H22:I22"/>
    <mergeCell ref="D28:G28"/>
    <mergeCell ref="I26:J26"/>
    <mergeCell ref="C26:E26"/>
    <mergeCell ref="F26:H26"/>
  </mergeCells>
  <phoneticPr fontId="0" type="noConversion"/>
  <hyperlinks>
    <hyperlink ref="C22:E23" location="Hinweise!A1" tooltip="KLICK: Erläuterung der Kalkulation" display="Hinweise zur Kalkulation"/>
    <hyperlink ref="F26" r:id="rId1" display="e.graefe@jena.tll.de"/>
    <hyperlink ref="H23" location="Substrat!A1" tooltip="... zum Eingabeblatt Substrate" display="Substrat"/>
    <hyperlink ref="I23" location="Kalkulation!A1" tooltip="... zum Blatt Kalkulation" display="Kalkulation"/>
    <hyperlink ref="F26:H26" r:id="rId2" display="E-Mail: g.reinhold@jena.tll.de"/>
  </hyperlinks>
  <pageMargins left="0.78740157499999996" right="0.78740157499999996" top="0.984251969" bottom="0.984251969" header="0.4921259845" footer="0.4921259845"/>
  <pageSetup paperSize="9" orientation="landscape" horizontalDpi="200" verticalDpi="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BK38"/>
  <sheetViews>
    <sheetView showGridLines="0" zoomScaleNormal="100" zoomScaleSheetLayoutView="100" workbookViewId="0">
      <selection activeCell="H26" sqref="H26"/>
    </sheetView>
  </sheetViews>
  <sheetFormatPr baseColWidth="10" defaultRowHeight="12.75"/>
  <cols>
    <col min="1" max="1" width="2.140625" customWidth="1"/>
    <col min="2" max="2" width="4.42578125" customWidth="1"/>
    <col min="3" max="3" width="15" style="499" customWidth="1"/>
    <col min="4" max="4" width="14.7109375" customWidth="1"/>
    <col min="7" max="7" width="17" customWidth="1"/>
    <col min="8" max="8" width="16.5703125" customWidth="1"/>
    <col min="9" max="9" width="13.42578125" customWidth="1"/>
    <col min="10" max="10" width="13.140625" customWidth="1"/>
    <col min="11" max="11" width="13.42578125" customWidth="1"/>
    <col min="12" max="12" width="4" customWidth="1"/>
  </cols>
  <sheetData>
    <row r="1" spans="1:63" s="536" customFormat="1" ht="16.5" customHeight="1">
      <c r="A1" s="537"/>
      <c r="B1" s="680"/>
      <c r="C1" s="681" t="str">
        <f>Substrat!C2</f>
        <v xml:space="preserve"> Thüringer Landesamt für Landwirtschaft Ländlichen Raum (TLLLR)</v>
      </c>
      <c r="D1" s="682"/>
      <c r="E1" s="682"/>
      <c r="F1" s="683"/>
      <c r="G1" s="682"/>
      <c r="H1" s="684"/>
      <c r="I1" s="684"/>
      <c r="J1" s="684"/>
      <c r="K1" s="684"/>
      <c r="L1" s="68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J1" s="537"/>
      <c r="BK1" s="537"/>
    </row>
    <row r="2" spans="1:63" ht="15.75" customHeight="1">
      <c r="A2" s="23"/>
      <c r="B2" s="668"/>
      <c r="C2" s="669" t="s">
        <v>384</v>
      </c>
      <c r="D2" s="669"/>
      <c r="E2" s="669"/>
      <c r="F2" s="669"/>
      <c r="G2" s="669"/>
      <c r="H2" s="669"/>
      <c r="I2" s="669"/>
      <c r="J2" s="669"/>
      <c r="K2" s="669"/>
      <c r="L2" s="670"/>
    </row>
    <row r="3" spans="1:63" ht="15" customHeight="1">
      <c r="A3" s="23"/>
      <c r="B3" s="22"/>
      <c r="C3" s="592" t="s">
        <v>192</v>
      </c>
      <c r="D3" s="592"/>
      <c r="E3" s="592"/>
      <c r="F3" s="592"/>
      <c r="G3" s="592"/>
      <c r="H3" s="592"/>
      <c r="I3" s="592"/>
      <c r="J3" s="592"/>
      <c r="K3" s="592"/>
      <c r="L3" s="24"/>
    </row>
    <row r="4" spans="1:63" ht="13.5" customHeight="1">
      <c r="A4" s="23"/>
      <c r="B4" s="22"/>
      <c r="C4" s="592" t="s">
        <v>382</v>
      </c>
      <c r="D4" s="592"/>
      <c r="E4" s="592"/>
      <c r="F4" s="592"/>
      <c r="G4" s="592"/>
      <c r="H4" s="592"/>
      <c r="I4" s="592"/>
      <c r="J4" s="592"/>
      <c r="K4" s="592"/>
      <c r="L4" s="24"/>
    </row>
    <row r="5" spans="1:63" ht="12.75" customHeight="1">
      <c r="A5" s="23"/>
      <c r="B5" s="22"/>
      <c r="C5" s="592" t="s">
        <v>385</v>
      </c>
      <c r="D5" s="592"/>
      <c r="E5" s="592"/>
      <c r="F5" s="592"/>
      <c r="G5" s="592"/>
      <c r="H5" s="592"/>
      <c r="I5" s="592"/>
      <c r="J5" s="592"/>
      <c r="K5" s="592"/>
      <c r="L5" s="24"/>
    </row>
    <row r="6" spans="1:63" ht="12.75" customHeight="1">
      <c r="A6" s="23"/>
      <c r="B6" s="22"/>
      <c r="C6" s="593" t="s">
        <v>422</v>
      </c>
      <c r="D6" s="592"/>
      <c r="E6" s="592"/>
      <c r="F6" s="592"/>
      <c r="G6" s="592"/>
      <c r="H6" s="592"/>
      <c r="I6" s="592"/>
      <c r="J6" s="592"/>
      <c r="K6" s="592"/>
      <c r="L6" s="24"/>
    </row>
    <row r="7" spans="1:63" ht="12.75" customHeight="1">
      <c r="A7" s="23"/>
      <c r="B7" s="22"/>
      <c r="C7" s="597" t="s">
        <v>425</v>
      </c>
      <c r="D7" s="592"/>
      <c r="E7" s="592"/>
      <c r="F7" s="592"/>
      <c r="G7" s="592"/>
      <c r="H7" s="592"/>
      <c r="I7" s="592"/>
      <c r="J7" s="592"/>
      <c r="K7" s="592"/>
      <c r="L7" s="24"/>
    </row>
    <row r="8" spans="1:63" ht="12.75" customHeight="1">
      <c r="A8" s="23"/>
      <c r="B8" s="22"/>
      <c r="C8" s="597" t="s">
        <v>426</v>
      </c>
      <c r="D8" s="592"/>
      <c r="E8" s="592"/>
      <c r="F8" s="592"/>
      <c r="G8" s="592"/>
      <c r="H8" s="592"/>
      <c r="I8" s="592"/>
      <c r="J8" s="592"/>
      <c r="K8" s="592"/>
      <c r="L8" s="24"/>
    </row>
    <row r="9" spans="1:63" ht="14.25" customHeight="1">
      <c r="A9" s="23"/>
      <c r="B9" s="22"/>
      <c r="C9" s="593" t="s">
        <v>423</v>
      </c>
      <c r="D9" s="592"/>
      <c r="E9" s="592"/>
      <c r="F9" s="592"/>
      <c r="G9" s="592"/>
      <c r="H9" s="497" t="s">
        <v>381</v>
      </c>
      <c r="I9" s="502" t="s">
        <v>79</v>
      </c>
      <c r="J9" s="388" t="s">
        <v>380</v>
      </c>
      <c r="K9" s="361" t="s">
        <v>42</v>
      </c>
      <c r="L9" s="24"/>
    </row>
    <row r="10" spans="1:63" ht="15.75" customHeight="1">
      <c r="A10" s="23"/>
      <c r="B10" s="22"/>
      <c r="C10" s="592"/>
      <c r="D10" s="592"/>
      <c r="E10" s="592"/>
      <c r="F10" s="592"/>
      <c r="G10" s="592"/>
      <c r="H10" s="503" t="s">
        <v>379</v>
      </c>
      <c r="I10" s="503" t="s">
        <v>376</v>
      </c>
      <c r="J10" s="503" t="s">
        <v>375</v>
      </c>
      <c r="K10" s="503" t="s">
        <v>375</v>
      </c>
      <c r="L10" s="24"/>
    </row>
    <row r="11" spans="1:63" ht="18.75" customHeight="1">
      <c r="A11" s="23"/>
      <c r="B11" s="22"/>
      <c r="C11" s="592"/>
      <c r="D11" s="592"/>
      <c r="E11" s="592"/>
      <c r="F11" s="592"/>
      <c r="G11" s="592"/>
      <c r="H11" s="503" t="s">
        <v>373</v>
      </c>
      <c r="I11" s="503" t="s">
        <v>374</v>
      </c>
      <c r="J11" s="503" t="s">
        <v>375</v>
      </c>
      <c r="K11" s="503" t="s">
        <v>375</v>
      </c>
      <c r="L11" s="24"/>
    </row>
    <row r="12" spans="1:63" ht="18.75" customHeight="1">
      <c r="A12" s="23"/>
      <c r="B12" s="22"/>
      <c r="C12" s="592"/>
      <c r="D12" s="592"/>
      <c r="E12" s="592"/>
      <c r="F12" s="592"/>
      <c r="G12" s="592"/>
      <c r="H12" s="503" t="s">
        <v>377</v>
      </c>
      <c r="I12" s="503" t="s">
        <v>374</v>
      </c>
      <c r="J12" s="503" t="s">
        <v>376</v>
      </c>
      <c r="K12" s="503" t="s">
        <v>375</v>
      </c>
      <c r="L12" s="24"/>
    </row>
    <row r="13" spans="1:63" ht="23.25" customHeight="1">
      <c r="A13" s="23"/>
      <c r="B13" s="22"/>
      <c r="C13" s="592"/>
      <c r="D13" s="592"/>
      <c r="E13" s="592"/>
      <c r="F13" s="592"/>
      <c r="G13" s="592"/>
      <c r="H13" s="503" t="s">
        <v>378</v>
      </c>
      <c r="I13" s="503" t="s">
        <v>374</v>
      </c>
      <c r="J13" s="503" t="s">
        <v>376</v>
      </c>
      <c r="K13" s="503" t="s">
        <v>375</v>
      </c>
      <c r="L13" s="24"/>
    </row>
    <row r="14" spans="1:63" ht="39" customHeight="1">
      <c r="A14" s="23"/>
      <c r="B14" s="22"/>
      <c r="C14" s="592" t="s">
        <v>397</v>
      </c>
      <c r="D14" s="592"/>
      <c r="E14" s="592"/>
      <c r="F14" s="592"/>
      <c r="G14" s="592"/>
      <c r="H14" s="592"/>
      <c r="I14" s="592"/>
      <c r="J14" s="592"/>
      <c r="K14" s="592"/>
      <c r="L14" s="24"/>
    </row>
    <row r="15" spans="1:63" ht="5.25" customHeight="1">
      <c r="A15" s="23"/>
      <c r="B15" s="22"/>
      <c r="C15" s="562"/>
      <c r="D15" s="500"/>
      <c r="E15" s="500"/>
      <c r="F15" s="500"/>
      <c r="G15" s="500"/>
      <c r="H15" s="500"/>
      <c r="I15" s="500"/>
      <c r="J15" s="500"/>
      <c r="K15" s="500"/>
      <c r="L15" s="24"/>
    </row>
    <row r="16" spans="1:63" ht="41.25" customHeight="1">
      <c r="A16" s="23"/>
      <c r="B16" s="22"/>
      <c r="C16" s="593" t="s">
        <v>424</v>
      </c>
      <c r="D16" s="592"/>
      <c r="E16" s="592"/>
      <c r="F16" s="592"/>
      <c r="G16" s="592"/>
      <c r="H16" s="592"/>
      <c r="I16" s="592"/>
      <c r="J16" s="592"/>
      <c r="K16" s="592"/>
      <c r="L16" s="24"/>
    </row>
    <row r="17" spans="1:63" ht="16.5" customHeight="1" thickBot="1">
      <c r="A17" s="23"/>
      <c r="B17" s="22"/>
      <c r="C17" s="596" t="s">
        <v>357</v>
      </c>
      <c r="D17" s="596"/>
      <c r="E17" s="596"/>
      <c r="F17" s="596"/>
      <c r="G17" s="596"/>
      <c r="H17" s="596"/>
      <c r="I17" s="596"/>
      <c r="J17" s="596"/>
      <c r="K17" s="596"/>
      <c r="L17" s="24"/>
    </row>
    <row r="18" spans="1:63" ht="14.25" customHeight="1">
      <c r="A18" s="23"/>
      <c r="B18" s="671"/>
      <c r="C18" s="592" t="s">
        <v>358</v>
      </c>
      <c r="D18" s="592"/>
      <c r="E18" s="592"/>
      <c r="F18" s="592"/>
      <c r="G18" s="592"/>
      <c r="H18" s="592"/>
      <c r="I18" s="592"/>
      <c r="J18" s="592"/>
      <c r="K18" s="592"/>
      <c r="L18" s="24"/>
    </row>
    <row r="19" spans="1:63" ht="14.25" customHeight="1" thickBot="1">
      <c r="A19" s="23"/>
      <c r="B19" s="527"/>
      <c r="C19" s="592" t="s">
        <v>65</v>
      </c>
      <c r="D19" s="592"/>
      <c r="E19" s="592"/>
      <c r="F19" s="592"/>
      <c r="G19" s="592"/>
      <c r="H19" s="592"/>
      <c r="I19" s="592"/>
      <c r="J19" s="592"/>
      <c r="K19" s="592"/>
      <c r="L19" s="24"/>
    </row>
    <row r="20" spans="1:63" ht="14.25" customHeight="1" thickBot="1">
      <c r="A20" s="23"/>
      <c r="B20" s="672"/>
      <c r="C20" s="592" t="s">
        <v>86</v>
      </c>
      <c r="D20" s="592"/>
      <c r="E20" s="592"/>
      <c r="F20" s="592"/>
      <c r="G20" s="592"/>
      <c r="H20" s="592"/>
      <c r="I20" s="592"/>
      <c r="J20" s="592"/>
      <c r="K20" s="592"/>
      <c r="L20" s="24"/>
    </row>
    <row r="21" spans="1:63" ht="14.25" customHeight="1">
      <c r="A21" s="23"/>
      <c r="B21" s="529">
        <v>0.04</v>
      </c>
      <c r="C21" s="594" t="s">
        <v>386</v>
      </c>
      <c r="D21" s="594"/>
      <c r="E21" s="594"/>
      <c r="F21" s="594"/>
      <c r="G21" s="594"/>
      <c r="H21" s="594"/>
      <c r="I21" s="594"/>
      <c r="J21" s="594"/>
      <c r="K21" s="501"/>
      <c r="L21" s="24"/>
    </row>
    <row r="22" spans="1:63" ht="14.25" customHeight="1">
      <c r="A22" s="23"/>
      <c r="B22" s="528"/>
      <c r="C22" s="595" t="s">
        <v>383</v>
      </c>
      <c r="D22" s="595"/>
      <c r="E22" s="595"/>
      <c r="F22" s="595"/>
      <c r="G22" s="595"/>
      <c r="H22" s="595"/>
      <c r="I22" s="595"/>
      <c r="J22" s="595"/>
      <c r="K22" s="595"/>
      <c r="L22" s="24"/>
    </row>
    <row r="23" spans="1:63" ht="14.25" customHeight="1">
      <c r="A23" s="23"/>
      <c r="B23" s="20"/>
      <c r="C23" s="593" t="s">
        <v>356</v>
      </c>
      <c r="D23" s="593"/>
      <c r="E23" s="593"/>
      <c r="F23" s="593"/>
      <c r="G23" s="593"/>
      <c r="H23" s="593"/>
      <c r="I23" s="593"/>
      <c r="J23" s="593"/>
      <c r="K23" s="593"/>
      <c r="L23" s="24"/>
    </row>
    <row r="24" spans="1:63" ht="12.75" customHeight="1">
      <c r="A24" s="23"/>
      <c r="B24" s="22"/>
      <c r="C24" s="591" t="s">
        <v>66</v>
      </c>
      <c r="D24" s="591"/>
      <c r="E24" s="591"/>
      <c r="F24" s="591"/>
      <c r="G24" s="591"/>
      <c r="H24" s="591"/>
      <c r="I24" s="591"/>
      <c r="J24" s="591"/>
      <c r="K24" s="591"/>
      <c r="L24" s="24"/>
    </row>
    <row r="25" spans="1:63" ht="5.25" customHeight="1">
      <c r="A25" s="498"/>
      <c r="B25" s="673"/>
      <c r="C25" s="562"/>
      <c r="D25" s="562"/>
      <c r="E25" s="562"/>
      <c r="F25" s="562"/>
      <c r="G25" s="562"/>
      <c r="H25" s="562"/>
      <c r="I25" s="562"/>
      <c r="J25" s="562"/>
      <c r="K25" s="562"/>
      <c r="L25" s="24"/>
    </row>
    <row r="26" spans="1:63" s="1" customFormat="1" ht="13.5" customHeight="1" collapsed="1">
      <c r="A26" s="498"/>
      <c r="B26" s="673"/>
      <c r="C26" s="562"/>
      <c r="D26" s="16"/>
      <c r="E26" s="101" t="s">
        <v>328</v>
      </c>
      <c r="F26" s="562"/>
      <c r="G26" s="570" t="s">
        <v>388</v>
      </c>
      <c r="H26" s="570" t="s">
        <v>72</v>
      </c>
      <c r="I26" s="570" t="s">
        <v>85</v>
      </c>
      <c r="J26" s="674"/>
      <c r="K26" s="674"/>
      <c r="L26" s="675"/>
      <c r="Q26" s="128"/>
      <c r="R26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248"/>
      <c r="AP26" s="162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</row>
    <row r="27" spans="1:63" s="498" customFormat="1">
      <c r="B27" s="673"/>
      <c r="C27" s="562"/>
      <c r="D27" s="562"/>
      <c r="E27" s="562"/>
      <c r="F27" s="562"/>
      <c r="G27" s="562"/>
      <c r="H27" s="562"/>
      <c r="I27" s="562"/>
      <c r="J27" s="674"/>
      <c r="K27" s="674"/>
      <c r="L27" s="675"/>
      <c r="R27"/>
    </row>
    <row r="28" spans="1:63" s="498" customFormat="1">
      <c r="B28" s="673"/>
      <c r="C28" s="562"/>
      <c r="D28" s="562"/>
      <c r="E28" s="562"/>
      <c r="F28" s="562"/>
      <c r="G28" s="562"/>
      <c r="H28" s="562"/>
      <c r="I28" s="562"/>
      <c r="J28" s="674"/>
      <c r="K28" s="674"/>
      <c r="L28" s="675"/>
    </row>
    <row r="29" spans="1:63" s="498" customFormat="1">
      <c r="B29" s="673"/>
      <c r="C29" s="562"/>
      <c r="D29" s="562"/>
      <c r="E29" s="562"/>
      <c r="F29" s="562"/>
      <c r="G29" s="562"/>
      <c r="H29" s="562"/>
      <c r="I29" s="562"/>
      <c r="J29" s="674"/>
      <c r="K29" s="674"/>
      <c r="L29" s="675"/>
    </row>
    <row r="30" spans="1:63" s="498" customFormat="1">
      <c r="B30" s="676"/>
      <c r="C30" s="677"/>
      <c r="D30" s="677"/>
      <c r="E30" s="677"/>
      <c r="F30" s="677"/>
      <c r="G30" s="677"/>
      <c r="H30" s="677"/>
      <c r="I30" s="677"/>
      <c r="J30" s="678"/>
      <c r="K30" s="678"/>
      <c r="L30" s="679"/>
    </row>
    <row r="31" spans="1:6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8" spans="7:7">
      <c r="G38" s="561"/>
    </row>
  </sheetData>
  <mergeCells count="19">
    <mergeCell ref="J26:L30"/>
    <mergeCell ref="C2:K2"/>
    <mergeCell ref="C9:G13"/>
    <mergeCell ref="C17:K17"/>
    <mergeCell ref="C18:K18"/>
    <mergeCell ref="C19:K19"/>
    <mergeCell ref="C14:K14"/>
    <mergeCell ref="C16:K16"/>
    <mergeCell ref="C6:K6"/>
    <mergeCell ref="C3:K3"/>
    <mergeCell ref="C4:K4"/>
    <mergeCell ref="C8:K8"/>
    <mergeCell ref="C5:K5"/>
    <mergeCell ref="C7:K7"/>
    <mergeCell ref="C24:K24"/>
    <mergeCell ref="C20:K20"/>
    <mergeCell ref="C23:K23"/>
    <mergeCell ref="C21:J21"/>
    <mergeCell ref="C22:K22"/>
  </mergeCells>
  <phoneticPr fontId="0" type="noConversion"/>
  <conditionalFormatting sqref="B21">
    <cfRule type="cellIs" dxfId="13" priority="1" stopIfTrue="1" operator="notEqual">
      <formula>IF(XFB21&gt;0,XDS21," ")</formula>
    </cfRule>
  </conditionalFormatting>
  <hyperlinks>
    <hyperlink ref="I26" location="Kalkulation!A1" display="Kalkulation"/>
    <hyperlink ref="G26:H26" location="Kalkulation!A1" display="Kalkulation"/>
    <hyperlink ref="G26" location="Start!A1" display="Start"/>
    <hyperlink ref="H26" location="Substrat!A1" display="Substrat"/>
  </hyperlinks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BK122"/>
  <sheetViews>
    <sheetView showGridLines="0" zoomScaleNormal="100" zoomScaleSheetLayoutView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E72" sqref="E72"/>
    </sheetView>
  </sheetViews>
  <sheetFormatPr baseColWidth="10" defaultRowHeight="12.75" outlineLevelRow="1" outlineLevelCol="1"/>
  <cols>
    <col min="1" max="1" width="1" style="1" customWidth="1"/>
    <col min="2" max="2" width="2.140625" style="1" customWidth="1"/>
    <col min="3" max="3" width="17.140625" style="1" customWidth="1"/>
    <col min="4" max="4" width="15.28515625" style="1" customWidth="1"/>
    <col min="5" max="5" width="7" style="1" customWidth="1"/>
    <col min="6" max="12" width="6" style="1" hidden="1" customWidth="1" outlineLevel="1"/>
    <col min="13" max="13" width="9.140625" style="1" hidden="1" customWidth="1" outlineLevel="1"/>
    <col min="14" max="14" width="7.85546875" style="1" hidden="1" customWidth="1" outlineLevel="1"/>
    <col min="15" max="15" width="7.85546875" style="128" customWidth="1" collapsed="1"/>
    <col min="16" max="16" width="7.42578125" style="128" customWidth="1"/>
    <col min="17" max="17" width="6.7109375" style="128" hidden="1" customWidth="1" outlineLevel="1"/>
    <col min="18" max="18" width="1" style="128" customWidth="1" collapsed="1"/>
    <col min="19" max="19" width="7" style="162" hidden="1" customWidth="1" outlineLevel="1"/>
    <col min="20" max="20" width="7.5703125" style="162" customWidth="1" collapsed="1"/>
    <col min="21" max="21" width="7.140625" style="128" customWidth="1"/>
    <col min="22" max="22" width="7.140625" style="128" hidden="1" customWidth="1" outlineLevel="1"/>
    <col min="23" max="23" width="7.28515625" style="128" hidden="1" customWidth="1" outlineLevel="1"/>
    <col min="24" max="27" width="5.42578125" style="128" hidden="1" customWidth="1" outlineLevel="1"/>
    <col min="28" max="28" width="9.42578125" style="128" hidden="1" customWidth="1" outlineLevel="1" collapsed="1"/>
    <col min="29" max="32" width="7.85546875" style="128" hidden="1" customWidth="1" outlineLevel="1"/>
    <col min="33" max="33" width="7" style="128" hidden="1" customWidth="1" outlineLevel="1"/>
    <col min="34" max="38" width="7.140625" style="128" hidden="1" customWidth="1" outlineLevel="1"/>
    <col min="39" max="39" width="10" style="128" hidden="1" customWidth="1" outlineLevel="1"/>
    <col min="40" max="40" width="7.140625" style="128" hidden="1" customWidth="1" outlineLevel="1" collapsed="1"/>
    <col min="41" max="41" width="1" style="128" customWidth="1" collapsed="1"/>
    <col min="42" max="42" width="7.28515625" style="162" hidden="1" customWidth="1" outlineLevel="1"/>
    <col min="43" max="43" width="6.5703125" style="162" customWidth="1" collapsed="1"/>
    <col min="44" max="44" width="6.7109375" style="128" customWidth="1"/>
    <col min="45" max="45" width="6.7109375" style="128" hidden="1" customWidth="1" outlineLevel="1"/>
    <col min="46" max="46" width="6.7109375" style="128" customWidth="1" collapsed="1"/>
    <col min="47" max="50" width="5.5703125" style="128" customWidth="1"/>
    <col min="51" max="51" width="8.5703125" style="128" customWidth="1" collapsed="1"/>
    <col min="52" max="52" width="8.5703125" style="128" customWidth="1"/>
    <col min="53" max="54" width="8.42578125" style="128" hidden="1" customWidth="1" outlineLevel="1"/>
    <col min="55" max="60" width="8.7109375" style="1" hidden="1" customWidth="1" outlineLevel="1"/>
    <col min="61" max="61" width="10" style="1" hidden="1" customWidth="1" outlineLevel="1"/>
    <col min="62" max="62" width="7.28515625" style="1" customWidth="1" collapsed="1"/>
    <col min="63" max="63" width="4.5703125" style="1" customWidth="1"/>
    <col min="64" max="16384" width="11.42578125" style="1"/>
  </cols>
  <sheetData>
    <row r="1" spans="1:63" ht="6" customHeight="1">
      <c r="A1" s="248"/>
      <c r="B1" s="248"/>
      <c r="C1" s="430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2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</row>
    <row r="2" spans="1:63" ht="15.75">
      <c r="A2" s="248"/>
      <c r="B2" s="248"/>
      <c r="C2" s="450" t="str">
        <f>Kalkulation!C26</f>
        <v xml:space="preserve"> Thüringer Landesamt für Landwirtschaft Ländlichen Raum (TLLLR)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8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8"/>
      <c r="AP2" s="248"/>
      <c r="AQ2" s="248"/>
      <c r="AR2" s="248"/>
      <c r="AS2" s="248"/>
      <c r="AT2" s="248"/>
      <c r="AU2" s="598" t="s">
        <v>324</v>
      </c>
      <c r="AV2" s="599"/>
      <c r="AW2" s="599"/>
      <c r="AX2" s="600"/>
      <c r="AY2" s="248"/>
      <c r="AZ2" s="433"/>
      <c r="BA2" s="248"/>
      <c r="BB2" s="248"/>
      <c r="BJ2" s="248"/>
      <c r="BK2" s="248"/>
    </row>
    <row r="3" spans="1:63" ht="5.25" customHeight="1" thickBot="1">
      <c r="A3" s="248"/>
      <c r="B3" s="248"/>
      <c r="C3" s="434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339"/>
      <c r="AV3" s="339"/>
      <c r="AW3" s="339"/>
      <c r="AX3" s="339"/>
      <c r="AY3" s="248"/>
      <c r="AZ3" s="433"/>
      <c r="BA3" s="248"/>
      <c r="BB3" s="248"/>
      <c r="BJ3" s="248"/>
      <c r="BK3" s="248"/>
    </row>
    <row r="4" spans="1:63" ht="13.5" thickBot="1">
      <c r="A4" s="248"/>
      <c r="B4" s="248"/>
      <c r="C4" s="607" t="str">
        <f>+Start!D28</f>
        <v>BGA Musterdorf</v>
      </c>
      <c r="D4" s="608"/>
      <c r="E4" s="609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 t="str">
        <f>+Start!J28</f>
        <v>Versionsdatum  1.11.2018</v>
      </c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686" t="s">
        <v>327</v>
      </c>
      <c r="AV4" s="686"/>
      <c r="AW4" s="686"/>
      <c r="AX4" s="686"/>
      <c r="AY4" s="248"/>
      <c r="AZ4" s="433"/>
      <c r="BA4" s="248"/>
      <c r="BB4" s="248"/>
      <c r="BJ4" s="248"/>
      <c r="BK4" s="248"/>
    </row>
    <row r="5" spans="1:63" ht="3.75" customHeight="1">
      <c r="A5" s="248"/>
      <c r="B5" s="248"/>
      <c r="C5" s="434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339"/>
      <c r="AV5" s="339"/>
      <c r="AW5" s="248"/>
      <c r="AX5" s="248"/>
      <c r="AY5" s="248"/>
      <c r="AZ5" s="433"/>
      <c r="BA5" s="248"/>
      <c r="BB5" s="248"/>
      <c r="BJ5" s="248"/>
      <c r="BK5" s="248"/>
    </row>
    <row r="6" spans="1:63" ht="15" customHeight="1">
      <c r="A6" s="248"/>
      <c r="B6" s="248"/>
      <c r="C6" s="485" t="s">
        <v>370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 t="s">
        <v>389</v>
      </c>
      <c r="AM6" s="248"/>
      <c r="AN6" s="248"/>
      <c r="AO6" s="248"/>
      <c r="AP6" s="248"/>
      <c r="AQ6" s="248"/>
      <c r="AR6" s="248"/>
      <c r="AS6" s="248"/>
      <c r="AT6" s="248"/>
      <c r="AU6" s="686" t="s">
        <v>89</v>
      </c>
      <c r="AV6" s="686"/>
      <c r="AW6" s="686"/>
      <c r="AX6" s="686"/>
      <c r="AY6" s="248"/>
      <c r="AZ6" s="433"/>
      <c r="BA6" s="248"/>
      <c r="BB6" s="248"/>
      <c r="BJ6" s="248"/>
      <c r="BK6" s="248"/>
    </row>
    <row r="7" spans="1:63" ht="4.5" customHeight="1">
      <c r="A7" s="248"/>
      <c r="B7" s="248"/>
      <c r="C7" s="434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433"/>
      <c r="BA7" s="248"/>
      <c r="BB7" s="248"/>
      <c r="BJ7" s="248"/>
      <c r="BK7" s="248"/>
    </row>
    <row r="8" spans="1:63" ht="14.25" customHeight="1">
      <c r="A8" s="248"/>
      <c r="B8" s="248"/>
      <c r="C8" s="491" t="s">
        <v>371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484"/>
      <c r="AR8" s="248"/>
      <c r="AS8" s="248"/>
      <c r="AT8" s="248"/>
      <c r="AU8" s="686" t="s">
        <v>85</v>
      </c>
      <c r="AV8" s="686"/>
      <c r="AW8" s="686"/>
      <c r="AX8" s="686"/>
      <c r="AY8" s="248"/>
      <c r="AZ8" s="433"/>
      <c r="BA8" s="248"/>
      <c r="BB8" s="248"/>
      <c r="BJ8" s="248"/>
      <c r="BK8" s="248"/>
    </row>
    <row r="9" spans="1:63" ht="6" customHeight="1">
      <c r="A9" s="248"/>
      <c r="B9" s="310"/>
      <c r="C9" s="434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433"/>
      <c r="BA9" s="248"/>
      <c r="BB9" s="248"/>
      <c r="BJ9" s="248"/>
      <c r="BK9" s="248"/>
    </row>
    <row r="10" spans="1:63" s="11" customFormat="1" ht="21.75" customHeight="1">
      <c r="A10" s="248"/>
      <c r="B10" s="248"/>
      <c r="C10" s="434"/>
      <c r="D10" s="615" t="s">
        <v>83</v>
      </c>
      <c r="E10" s="616"/>
      <c r="F10" s="7"/>
      <c r="G10" s="7"/>
      <c r="H10" s="7"/>
      <c r="I10" s="7"/>
      <c r="J10" s="7"/>
      <c r="K10" s="9"/>
      <c r="L10" s="9"/>
      <c r="M10" s="9"/>
      <c r="N10" s="10"/>
      <c r="O10" s="610" t="s">
        <v>91</v>
      </c>
      <c r="P10" s="611"/>
      <c r="Q10" s="130"/>
      <c r="R10" s="131"/>
      <c r="S10" s="617" t="s">
        <v>87</v>
      </c>
      <c r="T10" s="618"/>
      <c r="U10" s="618"/>
      <c r="V10" s="618"/>
      <c r="W10" s="618"/>
      <c r="X10" s="618"/>
      <c r="Y10" s="618"/>
      <c r="Z10" s="618"/>
      <c r="AA10" s="618"/>
      <c r="AB10" s="618"/>
      <c r="AC10" s="619"/>
      <c r="AD10" s="247"/>
      <c r="AE10" s="247"/>
      <c r="AF10" s="247"/>
      <c r="AG10" s="132"/>
      <c r="AH10" s="132"/>
      <c r="AI10" s="132"/>
      <c r="AJ10" s="132"/>
      <c r="AK10" s="132"/>
      <c r="AL10" s="132"/>
      <c r="AM10" s="132"/>
      <c r="AN10" s="132"/>
      <c r="AO10" s="131"/>
      <c r="AP10" s="612" t="s">
        <v>42</v>
      </c>
      <c r="AQ10" s="613"/>
      <c r="AR10" s="613"/>
      <c r="AS10" s="613"/>
      <c r="AT10" s="613"/>
      <c r="AU10" s="613"/>
      <c r="AV10" s="613"/>
      <c r="AW10" s="613"/>
      <c r="AX10" s="613"/>
      <c r="AY10" s="613"/>
      <c r="AZ10" s="614"/>
      <c r="BA10" s="239"/>
      <c r="BB10" s="239"/>
      <c r="BC10" s="18"/>
      <c r="BD10" s="18"/>
      <c r="BE10" s="18"/>
      <c r="BF10" s="18"/>
      <c r="BG10" s="18"/>
      <c r="BH10" s="18"/>
      <c r="BI10" s="18"/>
      <c r="BJ10" s="248"/>
      <c r="BK10" s="248"/>
    </row>
    <row r="11" spans="1:63" ht="24.75" customHeight="1">
      <c r="A11" s="248"/>
      <c r="B11" s="248"/>
      <c r="C11" s="415" t="s">
        <v>0</v>
      </c>
      <c r="D11" s="214" t="s">
        <v>26</v>
      </c>
      <c r="E11" s="215"/>
      <c r="F11" s="216" t="s">
        <v>28</v>
      </c>
      <c r="G11" s="217" t="s">
        <v>21</v>
      </c>
      <c r="H11" s="601" t="s">
        <v>92</v>
      </c>
      <c r="I11" s="602"/>
      <c r="J11" s="602"/>
      <c r="K11" s="603"/>
      <c r="L11" s="218" t="s">
        <v>181</v>
      </c>
      <c r="M11" s="219" t="s">
        <v>320</v>
      </c>
      <c r="N11" s="319" t="s">
        <v>321</v>
      </c>
      <c r="O11" s="317" t="s">
        <v>29</v>
      </c>
      <c r="P11" s="221" t="s">
        <v>32</v>
      </c>
      <c r="Q11" s="224" t="s">
        <v>80</v>
      </c>
      <c r="R11" s="223"/>
      <c r="S11" s="220" t="s">
        <v>29</v>
      </c>
      <c r="T11" s="220" t="s">
        <v>29</v>
      </c>
      <c r="U11" s="221" t="s">
        <v>32</v>
      </c>
      <c r="V11" s="222" t="s">
        <v>80</v>
      </c>
      <c r="W11" s="224" t="s">
        <v>41</v>
      </c>
      <c r="X11" s="620" t="s">
        <v>81</v>
      </c>
      <c r="Y11" s="621"/>
      <c r="Z11" s="621"/>
      <c r="AA11" s="622"/>
      <c r="AB11" s="226" t="s">
        <v>322</v>
      </c>
      <c r="AC11" s="221" t="s">
        <v>321</v>
      </c>
      <c r="AD11" s="225" t="s">
        <v>24</v>
      </c>
      <c r="AE11" s="225" t="s">
        <v>21</v>
      </c>
      <c r="AF11" s="221" t="s">
        <v>180</v>
      </c>
      <c r="AG11" s="227" t="s">
        <v>33</v>
      </c>
      <c r="AH11" s="227" t="s">
        <v>75</v>
      </c>
      <c r="AI11" s="228" t="s">
        <v>47</v>
      </c>
      <c r="AJ11" s="228" t="s">
        <v>148</v>
      </c>
      <c r="AK11" s="228" t="s">
        <v>149</v>
      </c>
      <c r="AL11" s="228" t="s">
        <v>150</v>
      </c>
      <c r="AM11" s="229" t="s">
        <v>61</v>
      </c>
      <c r="AN11" s="229"/>
      <c r="AO11" s="223"/>
      <c r="AP11" s="317" t="s">
        <v>29</v>
      </c>
      <c r="AQ11" s="220" t="s">
        <v>29</v>
      </c>
      <c r="AR11" s="221" t="s">
        <v>32</v>
      </c>
      <c r="AS11" s="222" t="s">
        <v>80</v>
      </c>
      <c r="AT11" s="224" t="s">
        <v>41</v>
      </c>
      <c r="AU11" s="604" t="s">
        <v>92</v>
      </c>
      <c r="AV11" s="605"/>
      <c r="AW11" s="605"/>
      <c r="AX11" s="606"/>
      <c r="AY11" s="226" t="s">
        <v>320</v>
      </c>
      <c r="AZ11" s="221" t="s">
        <v>321</v>
      </c>
      <c r="BA11" s="316" t="s">
        <v>24</v>
      </c>
      <c r="BB11" s="225" t="s">
        <v>21</v>
      </c>
      <c r="BC11" s="45" t="s">
        <v>76</v>
      </c>
      <c r="BD11" s="43" t="s">
        <v>75</v>
      </c>
      <c r="BE11" s="44" t="s">
        <v>47</v>
      </c>
      <c r="BF11" s="44" t="s">
        <v>148</v>
      </c>
      <c r="BG11" s="44" t="s">
        <v>149</v>
      </c>
      <c r="BH11" s="44" t="s">
        <v>150</v>
      </c>
      <c r="BI11" s="45" t="s">
        <v>61</v>
      </c>
      <c r="BJ11" s="248"/>
      <c r="BK11" s="248"/>
    </row>
    <row r="12" spans="1:63" ht="14.25" customHeight="1">
      <c r="A12" s="248"/>
      <c r="B12" s="248"/>
      <c r="C12" s="36"/>
      <c r="D12" s="36"/>
      <c r="E12" s="46"/>
      <c r="F12" s="47" t="s">
        <v>23</v>
      </c>
      <c r="G12" s="48" t="s">
        <v>25</v>
      </c>
      <c r="H12" s="49" t="s">
        <v>2</v>
      </c>
      <c r="I12" s="49" t="s">
        <v>3</v>
      </c>
      <c r="J12" s="50" t="s">
        <v>4</v>
      </c>
      <c r="K12" s="51" t="s">
        <v>151</v>
      </c>
      <c r="L12" s="51" t="s">
        <v>178</v>
      </c>
      <c r="M12" s="51" t="s">
        <v>27</v>
      </c>
      <c r="N12" s="320" t="s">
        <v>23</v>
      </c>
      <c r="O12" s="136" t="s">
        <v>30</v>
      </c>
      <c r="P12" s="134" t="s">
        <v>23</v>
      </c>
      <c r="Q12" s="322" t="s">
        <v>40</v>
      </c>
      <c r="R12" s="135"/>
      <c r="S12" s="133" t="s">
        <v>30</v>
      </c>
      <c r="T12" s="133" t="s">
        <v>144</v>
      </c>
      <c r="U12" s="134" t="s">
        <v>23</v>
      </c>
      <c r="V12" s="134" t="s">
        <v>40</v>
      </c>
      <c r="W12" s="133" t="s">
        <v>25</v>
      </c>
      <c r="X12" s="136" t="s">
        <v>2</v>
      </c>
      <c r="Y12" s="136" t="s">
        <v>3</v>
      </c>
      <c r="Z12" s="133" t="s">
        <v>4</v>
      </c>
      <c r="AA12" s="137" t="s">
        <v>151</v>
      </c>
      <c r="AB12" s="137" t="s">
        <v>27</v>
      </c>
      <c r="AC12" s="137" t="s">
        <v>23</v>
      </c>
      <c r="AD12" s="133" t="s">
        <v>30</v>
      </c>
      <c r="AE12" s="133" t="s">
        <v>30</v>
      </c>
      <c r="AF12" s="137"/>
      <c r="AG12" s="138" t="s">
        <v>34</v>
      </c>
      <c r="AH12" s="138" t="s">
        <v>34</v>
      </c>
      <c r="AI12" s="139" t="s">
        <v>45</v>
      </c>
      <c r="AJ12" s="139" t="s">
        <v>45</v>
      </c>
      <c r="AK12" s="139" t="s">
        <v>45</v>
      </c>
      <c r="AL12" s="139" t="s">
        <v>45</v>
      </c>
      <c r="AM12" s="140" t="s">
        <v>59</v>
      </c>
      <c r="AN12" s="140"/>
      <c r="AO12" s="135"/>
      <c r="AP12" s="133" t="s">
        <v>30</v>
      </c>
      <c r="AQ12" s="133" t="s">
        <v>144</v>
      </c>
      <c r="AR12" s="134" t="s">
        <v>23</v>
      </c>
      <c r="AS12" s="134" t="s">
        <v>40</v>
      </c>
      <c r="AT12" s="134" t="s">
        <v>23</v>
      </c>
      <c r="AU12" s="136" t="s">
        <v>2</v>
      </c>
      <c r="AV12" s="136" t="s">
        <v>3</v>
      </c>
      <c r="AW12" s="133" t="s">
        <v>4</v>
      </c>
      <c r="AX12" s="137" t="s">
        <v>151</v>
      </c>
      <c r="AY12" s="137" t="s">
        <v>27</v>
      </c>
      <c r="AZ12" s="318" t="s">
        <v>23</v>
      </c>
      <c r="BA12" s="133" t="s">
        <v>30</v>
      </c>
      <c r="BB12" s="133" t="s">
        <v>30</v>
      </c>
      <c r="BC12" s="212" t="s">
        <v>34</v>
      </c>
      <c r="BD12" s="51" t="s">
        <v>34</v>
      </c>
      <c r="BE12" s="41" t="s">
        <v>45</v>
      </c>
      <c r="BF12" s="41" t="s">
        <v>45</v>
      </c>
      <c r="BG12" s="41" t="s">
        <v>45</v>
      </c>
      <c r="BH12" s="41" t="s">
        <v>45</v>
      </c>
      <c r="BI12" s="67" t="s">
        <v>59</v>
      </c>
      <c r="BJ12" s="248"/>
      <c r="BK12" s="248"/>
    </row>
    <row r="13" spans="1:63" ht="14.25" customHeight="1" thickBot="1">
      <c r="A13" s="248"/>
      <c r="B13" s="248"/>
      <c r="C13" s="34" t="s">
        <v>5</v>
      </c>
      <c r="D13" s="35"/>
      <c r="E13" s="35"/>
      <c r="F13" s="7"/>
      <c r="G13" s="7"/>
      <c r="H13" s="7"/>
      <c r="I13" s="7"/>
      <c r="J13" s="7"/>
      <c r="K13" s="7"/>
      <c r="L13" s="7"/>
      <c r="M13" s="7"/>
      <c r="N13" s="7"/>
      <c r="O13" s="141"/>
      <c r="P13" s="142"/>
      <c r="Q13" s="251"/>
      <c r="R13" s="143"/>
      <c r="S13" s="144"/>
      <c r="T13" s="145"/>
      <c r="U13" s="146"/>
      <c r="V13" s="146"/>
      <c r="W13" s="146"/>
      <c r="X13" s="146"/>
      <c r="Y13" s="146"/>
      <c r="Z13" s="146"/>
      <c r="AA13" s="146"/>
      <c r="AB13" s="146"/>
      <c r="AC13" s="147"/>
      <c r="AD13" s="146"/>
      <c r="AE13" s="146"/>
      <c r="AF13" s="146"/>
      <c r="AG13" s="148"/>
      <c r="AH13" s="148"/>
      <c r="AI13" s="148"/>
      <c r="AJ13" s="148"/>
      <c r="AK13" s="148"/>
      <c r="AL13" s="148"/>
      <c r="AM13" s="148"/>
      <c r="AN13" s="148"/>
      <c r="AO13" s="143"/>
      <c r="AP13" s="149"/>
      <c r="AQ13" s="149"/>
      <c r="AR13" s="149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68"/>
      <c r="BD13" s="68"/>
      <c r="BE13" s="69"/>
      <c r="BF13" s="69"/>
      <c r="BG13" s="69"/>
      <c r="BH13" s="69"/>
      <c r="BI13" s="68"/>
      <c r="BJ13" s="248"/>
      <c r="BK13" s="248"/>
    </row>
    <row r="14" spans="1:63" ht="15.75" hidden="1" customHeight="1" outlineLevel="1" thickBot="1">
      <c r="A14" s="248"/>
      <c r="B14" s="248"/>
      <c r="C14" s="259" t="s">
        <v>6</v>
      </c>
      <c r="D14" s="260" t="s">
        <v>7</v>
      </c>
      <c r="E14" s="261"/>
      <c r="F14" s="262">
        <v>0.1</v>
      </c>
      <c r="G14" s="262">
        <v>0.8</v>
      </c>
      <c r="H14" s="263">
        <v>5.3</v>
      </c>
      <c r="I14" s="263">
        <v>0.92</v>
      </c>
      <c r="J14" s="263">
        <v>5.7</v>
      </c>
      <c r="K14" s="263"/>
      <c r="L14" s="264">
        <v>0.4</v>
      </c>
      <c r="M14" s="265">
        <v>200</v>
      </c>
      <c r="N14" s="290">
        <v>0.6</v>
      </c>
      <c r="O14" s="293">
        <f>IF(S14&gt;0,S14," ")</f>
        <v>2.7397260273972606E-8</v>
      </c>
      <c r="P14" s="313">
        <f>IF(U14&gt;0,U14," ")</f>
        <v>1E-8</v>
      </c>
      <c r="Q14" s="323" t="str">
        <f>IF(V14&gt;0,V14," ")</f>
        <v xml:space="preserve"> </v>
      </c>
      <c r="R14" s="250"/>
      <c r="S14" s="151">
        <f t="shared" ref="S14:S68" si="0">+T14/365</f>
        <v>2.7397260273972606E-8</v>
      </c>
      <c r="T14" s="296">
        <v>1.0000000000000001E-5</v>
      </c>
      <c r="U14" s="297">
        <v>1E-8</v>
      </c>
      <c r="V14" s="152"/>
      <c r="W14" s="153">
        <f>IF(S14&gt;0,G14," ")</f>
        <v>0.8</v>
      </c>
      <c r="X14" s="74">
        <f>IF(S14&gt;0,H14*$U14/$F14," ")</f>
        <v>5.299999999999999E-7</v>
      </c>
      <c r="Y14" s="74">
        <f>IF(S14&gt;0,I14*$U14/$F14," ")</f>
        <v>9.2000000000000003E-8</v>
      </c>
      <c r="Z14" s="74">
        <f>IF($S14&gt;0,+J14*$U14/$F14," ")</f>
        <v>5.6999999999999994E-7</v>
      </c>
      <c r="AA14" s="74">
        <f>IF($S14&gt;0,+K14*$U14/$F14," ")</f>
        <v>0</v>
      </c>
      <c r="AB14" s="75">
        <f>IF(S14&gt;0,M14," ")</f>
        <v>200</v>
      </c>
      <c r="AC14" s="76">
        <f>IF(S14&gt;0,N14," ")</f>
        <v>0.6</v>
      </c>
      <c r="AD14" s="73">
        <f t="shared" ref="AD14:AD41" si="1">+S14*U14</f>
        <v>2.7397260273972607E-16</v>
      </c>
      <c r="AE14" s="73">
        <f t="shared" ref="AE14:AE41" si="2">IF(S14&gt;0,S14*U14*G14," ")</f>
        <v>2.1917808219178087E-16</v>
      </c>
      <c r="AF14" s="154">
        <f t="shared" ref="AF14:AF41" si="3">(M14/N14*G14/1000*((N14*16+(1-N14)*44)/22.4))+L14</f>
        <v>0.7238095238095239</v>
      </c>
      <c r="AG14" s="208">
        <f t="shared" ref="AG14:AG41" si="4">IF(S14&gt;0,S14*U14*W14*AB14," ")</f>
        <v>4.3835616438356171E-14</v>
      </c>
      <c r="AH14" s="208">
        <f t="shared" ref="AH14:AH41" si="5">IF(S14&gt;0,AG14/AC14," ")</f>
        <v>7.3059360730593627E-14</v>
      </c>
      <c r="AI14" s="209">
        <f t="shared" ref="AI14:AI22" si="6">IF($S14&gt;0,$S14*X14," ")</f>
        <v>1.4520547945205479E-14</v>
      </c>
      <c r="AJ14" s="209">
        <f t="shared" ref="AJ14:AJ22" si="7">IF($S14&gt;0,$S14*Y14," ")</f>
        <v>2.5205479452054796E-15</v>
      </c>
      <c r="AK14" s="209">
        <f t="shared" ref="AK14:AK22" si="8">IF($S14&gt;0,$S14*Z14," ")</f>
        <v>1.5616438356164383E-14</v>
      </c>
      <c r="AL14" s="209">
        <f t="shared" ref="AL14:AL22" si="9">IF($S14&gt;0,$S14*AA14," ")</f>
        <v>0</v>
      </c>
      <c r="AM14" s="209">
        <f t="shared" ref="AM14:AM22" si="10">IF(S14&gt;0,S14*V14*365/1000," ")</f>
        <v>0</v>
      </c>
      <c r="AN14" s="209"/>
      <c r="AO14" s="77"/>
      <c r="AP14" s="151">
        <f t="shared" ref="AP14:AP68" si="11">+AQ14/365</f>
        <v>2.7397260273972606E-8</v>
      </c>
      <c r="AQ14" s="296">
        <v>1.0000000000000001E-5</v>
      </c>
      <c r="AR14" s="297">
        <v>9.9999999999999995E-8</v>
      </c>
      <c r="AS14" s="152"/>
      <c r="AT14" s="244">
        <f t="shared" ref="AT14:AT39" si="12">IF(AP14&gt;0,G14," ")</f>
        <v>0.8</v>
      </c>
      <c r="AU14" s="245">
        <f t="shared" ref="AU14:AU39" si="13">IF(AP14&gt;0,H14*$AR14/$F14," ")</f>
        <v>5.3000000000000001E-6</v>
      </c>
      <c r="AV14" s="245">
        <f t="shared" ref="AV14:AV39" si="14">IF(AP14&gt;0,I14*$AR14/$F14," ")</f>
        <v>9.1999999999999998E-7</v>
      </c>
      <c r="AW14" s="245">
        <f t="shared" ref="AW14:AW39" si="15">IF(AP14&gt;0,J14*$AR14/$F14," ")</f>
        <v>5.6999999999999988E-6</v>
      </c>
      <c r="AX14" s="245">
        <f t="shared" ref="AX14:AX39" si="16">IF(AP14&gt;0,K14*$AR14/$F14," ")</f>
        <v>0</v>
      </c>
      <c r="AY14" s="245">
        <f t="shared" ref="AY14:AY39" si="17">IF(AP14&gt;0,M14," ")</f>
        <v>200</v>
      </c>
      <c r="AZ14" s="246">
        <f t="shared" ref="AZ14:AZ39" si="18">IF(AP14&gt;0,N14," ")</f>
        <v>0.6</v>
      </c>
      <c r="BA14" s="73">
        <f t="shared" ref="BA14:BA39" si="19">+AP14*AR14</f>
        <v>2.7397260273972603E-15</v>
      </c>
      <c r="BB14" s="73">
        <f t="shared" ref="BB14:BB39" si="20">IF(AP14&gt;0,AP14*AR14*AT14," ")</f>
        <v>2.1917808219178086E-15</v>
      </c>
      <c r="BC14" s="210">
        <f t="shared" ref="BC14:BC30" si="21">IF(AP14&gt;0,AP14*AR14*AY14*AT14," ")</f>
        <v>4.3835616438356166E-13</v>
      </c>
      <c r="BD14" s="210">
        <f t="shared" ref="BD14:BD41" si="22">IF(AP14&gt;0,BC14/AZ14," ")</f>
        <v>7.3059360730593612E-13</v>
      </c>
      <c r="BE14" s="157">
        <f t="shared" ref="BE14:BE68" si="23">IF($AP14&gt;0,$AP14*AU14," ")</f>
        <v>1.4520547945205482E-13</v>
      </c>
      <c r="BF14" s="157">
        <f t="shared" ref="BF14:BF68" si="24">IF($AP14&gt;0,$AP14*AV14," ")</f>
        <v>2.5205479452054795E-14</v>
      </c>
      <c r="BG14" s="157">
        <f t="shared" ref="BG14:BG68" si="25">IF($AP14&gt;0,$AP14*AW14," ")</f>
        <v>1.5616438356164381E-13</v>
      </c>
      <c r="BH14" s="157">
        <f t="shared" ref="BH14:BH68" si="26">IF($AP14&gt;0,$AP14*AX14," ")</f>
        <v>0</v>
      </c>
      <c r="BI14" s="211">
        <f t="shared" ref="BI14:BI68" si="27">IF(AP14&gt;0,AP14*AS14*365/1000," ")</f>
        <v>0</v>
      </c>
      <c r="BJ14" s="248"/>
      <c r="BK14" s="248"/>
    </row>
    <row r="15" spans="1:63" ht="15.75" hidden="1" customHeight="1" outlineLevel="1" thickBot="1">
      <c r="A15" s="248"/>
      <c r="B15" s="248"/>
      <c r="C15" s="266" t="s">
        <v>6</v>
      </c>
      <c r="D15" s="253" t="s">
        <v>8</v>
      </c>
      <c r="E15" s="252"/>
      <c r="F15" s="254">
        <v>0.1</v>
      </c>
      <c r="G15" s="254">
        <v>0.8</v>
      </c>
      <c r="H15" s="255">
        <v>4.4000000000000004</v>
      </c>
      <c r="I15" s="255">
        <v>0.74</v>
      </c>
      <c r="J15" s="255">
        <v>5.3</v>
      </c>
      <c r="K15" s="255"/>
      <c r="L15" s="256">
        <v>0.4</v>
      </c>
      <c r="M15" s="257">
        <v>200</v>
      </c>
      <c r="N15" s="291">
        <v>0.6</v>
      </c>
      <c r="O15" s="294" t="str">
        <f t="shared" ref="O15:O39" si="28">IF(S15&gt;0,S15," ")</f>
        <v xml:space="preserve"> </v>
      </c>
      <c r="P15" s="314" t="str">
        <f t="shared" ref="P15:P39" si="29">IF(U15&gt;0,U15," ")</f>
        <v xml:space="preserve"> </v>
      </c>
      <c r="Q15" s="311" t="str">
        <f t="shared" ref="Q15:Q39" si="30">IF(V15&gt;0,V15," ")</f>
        <v xml:space="preserve"> </v>
      </c>
      <c r="R15" s="250"/>
      <c r="S15" s="151">
        <f t="shared" si="0"/>
        <v>0</v>
      </c>
      <c r="T15" s="298"/>
      <c r="U15" s="299"/>
      <c r="V15" s="152"/>
      <c r="W15" s="153" t="str">
        <f t="shared" ref="W15:W68" si="31">IF(S15&gt;0,G15," ")</f>
        <v xml:space="preserve"> </v>
      </c>
      <c r="X15" s="74" t="str">
        <f t="shared" ref="X15:X68" si="32">IF(S15&gt;0,H15*$U15/$F15," ")</f>
        <v xml:space="preserve"> </v>
      </c>
      <c r="Y15" s="74" t="str">
        <f t="shared" ref="Y15:Y68" si="33">IF(S15&gt;0,I15*$U15/$F15," ")</f>
        <v xml:space="preserve"> </v>
      </c>
      <c r="Z15" s="74" t="str">
        <f t="shared" ref="Z15:Z68" si="34">IF($S15&gt;0,+J15*$U15/$F15," ")</f>
        <v xml:space="preserve"> </v>
      </c>
      <c r="AA15" s="74" t="str">
        <f t="shared" ref="AA15:AA68" si="35">IF($S15&gt;0,+K15*$U15/$F15," ")</f>
        <v xml:space="preserve"> </v>
      </c>
      <c r="AB15" s="75" t="str">
        <f t="shared" ref="AB15:AB68" si="36">IF(S15&gt;0,M15," ")</f>
        <v xml:space="preserve"> </v>
      </c>
      <c r="AC15" s="76" t="str">
        <f t="shared" ref="AC15:AC68" si="37">IF(S15&gt;0,N15," ")</f>
        <v xml:space="preserve"> </v>
      </c>
      <c r="AD15" s="73">
        <f t="shared" si="1"/>
        <v>0</v>
      </c>
      <c r="AE15" s="73" t="str">
        <f t="shared" si="2"/>
        <v xml:space="preserve"> </v>
      </c>
      <c r="AF15" s="154">
        <f t="shared" si="3"/>
        <v>0.7238095238095239</v>
      </c>
      <c r="AG15" s="208" t="str">
        <f t="shared" si="4"/>
        <v xml:space="preserve"> </v>
      </c>
      <c r="AH15" s="208" t="str">
        <f t="shared" si="5"/>
        <v xml:space="preserve"> </v>
      </c>
      <c r="AI15" s="209" t="str">
        <f t="shared" si="6"/>
        <v xml:space="preserve"> </v>
      </c>
      <c r="AJ15" s="209" t="str">
        <f t="shared" si="7"/>
        <v xml:space="preserve"> </v>
      </c>
      <c r="AK15" s="209" t="str">
        <f t="shared" si="8"/>
        <v xml:space="preserve"> </v>
      </c>
      <c r="AL15" s="209" t="str">
        <f t="shared" si="9"/>
        <v xml:space="preserve"> </v>
      </c>
      <c r="AM15" s="209" t="str">
        <f t="shared" si="10"/>
        <v xml:space="preserve"> </v>
      </c>
      <c r="AN15" s="209"/>
      <c r="AO15" s="77"/>
      <c r="AP15" s="151">
        <f t="shared" si="11"/>
        <v>0</v>
      </c>
      <c r="AQ15" s="298"/>
      <c r="AR15" s="299"/>
      <c r="AS15" s="152"/>
      <c r="AT15" s="244" t="str">
        <f t="shared" si="12"/>
        <v xml:space="preserve"> </v>
      </c>
      <c r="AU15" s="245" t="str">
        <f t="shared" si="13"/>
        <v xml:space="preserve"> </v>
      </c>
      <c r="AV15" s="245" t="str">
        <f t="shared" si="14"/>
        <v xml:space="preserve"> </v>
      </c>
      <c r="AW15" s="245" t="str">
        <f t="shared" si="15"/>
        <v xml:space="preserve"> </v>
      </c>
      <c r="AX15" s="245" t="str">
        <f t="shared" si="16"/>
        <v xml:space="preserve"> </v>
      </c>
      <c r="AY15" s="245" t="str">
        <f t="shared" si="17"/>
        <v xml:space="preserve"> </v>
      </c>
      <c r="AZ15" s="246" t="str">
        <f t="shared" si="18"/>
        <v xml:space="preserve"> </v>
      </c>
      <c r="BA15" s="73">
        <f t="shared" si="19"/>
        <v>0</v>
      </c>
      <c r="BB15" s="73" t="str">
        <f t="shared" si="20"/>
        <v xml:space="preserve"> </v>
      </c>
      <c r="BC15" s="210" t="str">
        <f t="shared" si="21"/>
        <v xml:space="preserve"> </v>
      </c>
      <c r="BD15" s="210" t="str">
        <f t="shared" si="22"/>
        <v xml:space="preserve"> </v>
      </c>
      <c r="BE15" s="157" t="str">
        <f t="shared" si="23"/>
        <v xml:space="preserve"> </v>
      </c>
      <c r="BF15" s="157" t="str">
        <f t="shared" si="24"/>
        <v xml:space="preserve"> </v>
      </c>
      <c r="BG15" s="157" t="str">
        <f t="shared" si="25"/>
        <v xml:space="preserve"> </v>
      </c>
      <c r="BH15" s="157" t="str">
        <f t="shared" si="26"/>
        <v xml:space="preserve"> </v>
      </c>
      <c r="BI15" s="211" t="str">
        <f t="shared" si="27"/>
        <v xml:space="preserve"> </v>
      </c>
      <c r="BJ15" s="248"/>
      <c r="BK15" s="248"/>
    </row>
    <row r="16" spans="1:63" ht="15.75" hidden="1" customHeight="1" outlineLevel="1" thickBot="1">
      <c r="A16" s="248"/>
      <c r="B16" s="248"/>
      <c r="C16" s="266" t="s">
        <v>9</v>
      </c>
      <c r="D16" s="253" t="s">
        <v>10</v>
      </c>
      <c r="E16" s="252"/>
      <c r="F16" s="254">
        <v>0.1</v>
      </c>
      <c r="G16" s="254">
        <v>0.8</v>
      </c>
      <c r="H16" s="255">
        <v>6.8</v>
      </c>
      <c r="I16" s="255">
        <v>1.6</v>
      </c>
      <c r="J16" s="255">
        <v>3</v>
      </c>
      <c r="K16" s="255"/>
      <c r="L16" s="255">
        <v>0.6</v>
      </c>
      <c r="M16" s="257">
        <v>220</v>
      </c>
      <c r="N16" s="291">
        <v>0.6</v>
      </c>
      <c r="O16" s="294" t="str">
        <f t="shared" si="28"/>
        <v xml:space="preserve"> </v>
      </c>
      <c r="P16" s="314" t="str">
        <f t="shared" si="29"/>
        <v xml:space="preserve"> </v>
      </c>
      <c r="Q16" s="311" t="str">
        <f t="shared" si="30"/>
        <v xml:space="preserve"> </v>
      </c>
      <c r="R16" s="250"/>
      <c r="S16" s="151">
        <f t="shared" si="0"/>
        <v>0</v>
      </c>
      <c r="T16" s="298"/>
      <c r="U16" s="299"/>
      <c r="V16" s="152"/>
      <c r="W16" s="153" t="str">
        <f t="shared" si="31"/>
        <v xml:space="preserve"> </v>
      </c>
      <c r="X16" s="74" t="str">
        <f t="shared" si="32"/>
        <v xml:space="preserve"> </v>
      </c>
      <c r="Y16" s="74" t="str">
        <f t="shared" si="33"/>
        <v xml:space="preserve"> </v>
      </c>
      <c r="Z16" s="74" t="str">
        <f t="shared" si="34"/>
        <v xml:space="preserve"> </v>
      </c>
      <c r="AA16" s="74" t="str">
        <f t="shared" si="35"/>
        <v xml:space="preserve"> </v>
      </c>
      <c r="AB16" s="75" t="str">
        <f t="shared" si="36"/>
        <v xml:space="preserve"> </v>
      </c>
      <c r="AC16" s="76" t="str">
        <f t="shared" si="37"/>
        <v xml:space="preserve"> </v>
      </c>
      <c r="AD16" s="73">
        <f t="shared" si="1"/>
        <v>0</v>
      </c>
      <c r="AE16" s="73" t="str">
        <f t="shared" si="2"/>
        <v xml:space="preserve"> </v>
      </c>
      <c r="AF16" s="154">
        <f t="shared" si="3"/>
        <v>0.95619047619047626</v>
      </c>
      <c r="AG16" s="208" t="str">
        <f t="shared" si="4"/>
        <v xml:space="preserve"> </v>
      </c>
      <c r="AH16" s="208" t="str">
        <f t="shared" si="5"/>
        <v xml:space="preserve"> </v>
      </c>
      <c r="AI16" s="209" t="str">
        <f t="shared" si="6"/>
        <v xml:space="preserve"> </v>
      </c>
      <c r="AJ16" s="209" t="str">
        <f t="shared" si="7"/>
        <v xml:space="preserve"> </v>
      </c>
      <c r="AK16" s="209" t="str">
        <f t="shared" si="8"/>
        <v xml:space="preserve"> </v>
      </c>
      <c r="AL16" s="209" t="str">
        <f t="shared" si="9"/>
        <v xml:space="preserve"> </v>
      </c>
      <c r="AM16" s="209" t="str">
        <f t="shared" si="10"/>
        <v xml:space="preserve"> </v>
      </c>
      <c r="AN16" s="209"/>
      <c r="AO16" s="77"/>
      <c r="AP16" s="151">
        <f t="shared" si="11"/>
        <v>0</v>
      </c>
      <c r="AQ16" s="298"/>
      <c r="AR16" s="299"/>
      <c r="AS16" s="152"/>
      <c r="AT16" s="244" t="str">
        <f t="shared" si="12"/>
        <v xml:space="preserve"> </v>
      </c>
      <c r="AU16" s="245" t="str">
        <f t="shared" si="13"/>
        <v xml:space="preserve"> </v>
      </c>
      <c r="AV16" s="245" t="str">
        <f t="shared" si="14"/>
        <v xml:space="preserve"> </v>
      </c>
      <c r="AW16" s="245" t="str">
        <f t="shared" si="15"/>
        <v xml:space="preserve"> </v>
      </c>
      <c r="AX16" s="245" t="str">
        <f t="shared" si="16"/>
        <v xml:space="preserve"> </v>
      </c>
      <c r="AY16" s="245" t="str">
        <f t="shared" si="17"/>
        <v xml:space="preserve"> </v>
      </c>
      <c r="AZ16" s="246" t="str">
        <f t="shared" si="18"/>
        <v xml:space="preserve"> </v>
      </c>
      <c r="BA16" s="73">
        <f t="shared" si="19"/>
        <v>0</v>
      </c>
      <c r="BB16" s="73" t="str">
        <f t="shared" si="20"/>
        <v xml:space="preserve"> </v>
      </c>
      <c r="BC16" s="210" t="str">
        <f t="shared" si="21"/>
        <v xml:space="preserve"> </v>
      </c>
      <c r="BD16" s="210" t="str">
        <f t="shared" si="22"/>
        <v xml:space="preserve"> </v>
      </c>
      <c r="BE16" s="157" t="str">
        <f t="shared" si="23"/>
        <v xml:space="preserve"> </v>
      </c>
      <c r="BF16" s="157" t="str">
        <f t="shared" si="24"/>
        <v xml:space="preserve"> </v>
      </c>
      <c r="BG16" s="157" t="str">
        <f t="shared" si="25"/>
        <v xml:space="preserve"> </v>
      </c>
      <c r="BH16" s="157" t="str">
        <f t="shared" si="26"/>
        <v xml:space="preserve"> </v>
      </c>
      <c r="BI16" s="211" t="str">
        <f t="shared" si="27"/>
        <v xml:space="preserve"> </v>
      </c>
      <c r="BJ16" s="248"/>
      <c r="BK16" s="248"/>
    </row>
    <row r="17" spans="1:63" ht="15.75" hidden="1" customHeight="1" outlineLevel="1" thickBot="1">
      <c r="A17" s="248"/>
      <c r="B17" s="248"/>
      <c r="C17" s="266" t="s">
        <v>9</v>
      </c>
      <c r="D17" s="253" t="s">
        <v>11</v>
      </c>
      <c r="E17" s="252"/>
      <c r="F17" s="254">
        <v>0.1</v>
      </c>
      <c r="G17" s="254">
        <v>0.8</v>
      </c>
      <c r="H17" s="255">
        <v>4.4000000000000004</v>
      </c>
      <c r="I17" s="255">
        <v>1.3</v>
      </c>
      <c r="J17" s="255">
        <v>2.5</v>
      </c>
      <c r="K17" s="255"/>
      <c r="L17" s="255">
        <v>0.6</v>
      </c>
      <c r="M17" s="257">
        <v>220</v>
      </c>
      <c r="N17" s="291">
        <v>0.6</v>
      </c>
      <c r="O17" s="294" t="str">
        <f t="shared" si="28"/>
        <v xml:space="preserve"> </v>
      </c>
      <c r="P17" s="314" t="str">
        <f t="shared" si="29"/>
        <v xml:space="preserve"> </v>
      </c>
      <c r="Q17" s="311" t="str">
        <f t="shared" si="30"/>
        <v xml:space="preserve"> </v>
      </c>
      <c r="R17" s="250"/>
      <c r="S17" s="151">
        <f t="shared" si="0"/>
        <v>0</v>
      </c>
      <c r="T17" s="298"/>
      <c r="U17" s="299"/>
      <c r="V17" s="152"/>
      <c r="W17" s="153" t="str">
        <f t="shared" si="31"/>
        <v xml:space="preserve"> </v>
      </c>
      <c r="X17" s="74" t="str">
        <f t="shared" si="32"/>
        <v xml:space="preserve"> </v>
      </c>
      <c r="Y17" s="74" t="str">
        <f t="shared" si="33"/>
        <v xml:space="preserve"> </v>
      </c>
      <c r="Z17" s="74" t="str">
        <f t="shared" si="34"/>
        <v xml:space="preserve"> </v>
      </c>
      <c r="AA17" s="74" t="str">
        <f t="shared" si="35"/>
        <v xml:space="preserve"> </v>
      </c>
      <c r="AB17" s="75" t="str">
        <f t="shared" si="36"/>
        <v xml:space="preserve"> </v>
      </c>
      <c r="AC17" s="76" t="str">
        <f t="shared" si="37"/>
        <v xml:space="preserve"> </v>
      </c>
      <c r="AD17" s="73">
        <f t="shared" si="1"/>
        <v>0</v>
      </c>
      <c r="AE17" s="73" t="str">
        <f t="shared" si="2"/>
        <v xml:space="preserve"> </v>
      </c>
      <c r="AF17" s="154">
        <f t="shared" si="3"/>
        <v>0.95619047619047626</v>
      </c>
      <c r="AG17" s="208" t="str">
        <f t="shared" si="4"/>
        <v xml:space="preserve"> </v>
      </c>
      <c r="AH17" s="208" t="str">
        <f t="shared" si="5"/>
        <v xml:space="preserve"> </v>
      </c>
      <c r="AI17" s="209" t="str">
        <f t="shared" si="6"/>
        <v xml:space="preserve"> </v>
      </c>
      <c r="AJ17" s="209" t="str">
        <f t="shared" si="7"/>
        <v xml:space="preserve"> </v>
      </c>
      <c r="AK17" s="209" t="str">
        <f t="shared" si="8"/>
        <v xml:space="preserve"> </v>
      </c>
      <c r="AL17" s="209" t="str">
        <f t="shared" si="9"/>
        <v xml:space="preserve"> </v>
      </c>
      <c r="AM17" s="209" t="str">
        <f t="shared" si="10"/>
        <v xml:space="preserve"> </v>
      </c>
      <c r="AN17" s="209"/>
      <c r="AO17" s="77"/>
      <c r="AP17" s="151">
        <f t="shared" si="11"/>
        <v>0</v>
      </c>
      <c r="AQ17" s="298"/>
      <c r="AR17" s="299"/>
      <c r="AS17" s="152"/>
      <c r="AT17" s="244" t="str">
        <f t="shared" si="12"/>
        <v xml:space="preserve"> </v>
      </c>
      <c r="AU17" s="245" t="str">
        <f t="shared" si="13"/>
        <v xml:space="preserve"> </v>
      </c>
      <c r="AV17" s="245" t="str">
        <f t="shared" si="14"/>
        <v xml:space="preserve"> </v>
      </c>
      <c r="AW17" s="245" t="str">
        <f t="shared" si="15"/>
        <v xml:space="preserve"> </v>
      </c>
      <c r="AX17" s="245" t="str">
        <f t="shared" si="16"/>
        <v xml:space="preserve"> </v>
      </c>
      <c r="AY17" s="245" t="str">
        <f t="shared" si="17"/>
        <v xml:space="preserve"> </v>
      </c>
      <c r="AZ17" s="246" t="str">
        <f t="shared" si="18"/>
        <v xml:space="preserve"> </v>
      </c>
      <c r="BA17" s="73">
        <f t="shared" si="19"/>
        <v>0</v>
      </c>
      <c r="BB17" s="73" t="str">
        <f t="shared" si="20"/>
        <v xml:space="preserve"> </v>
      </c>
      <c r="BC17" s="210" t="str">
        <f t="shared" si="21"/>
        <v xml:space="preserve"> </v>
      </c>
      <c r="BD17" s="210" t="str">
        <f t="shared" si="22"/>
        <v xml:space="preserve"> </v>
      </c>
      <c r="BE17" s="157" t="str">
        <f t="shared" si="23"/>
        <v xml:space="preserve"> </v>
      </c>
      <c r="BF17" s="157" t="str">
        <f t="shared" si="24"/>
        <v xml:space="preserve"> </v>
      </c>
      <c r="BG17" s="157" t="str">
        <f t="shared" si="25"/>
        <v xml:space="preserve"> </v>
      </c>
      <c r="BH17" s="157" t="str">
        <f t="shared" si="26"/>
        <v xml:space="preserve"> </v>
      </c>
      <c r="BI17" s="211" t="str">
        <f t="shared" si="27"/>
        <v xml:space="preserve"> </v>
      </c>
      <c r="BJ17" s="248"/>
      <c r="BK17" s="248"/>
    </row>
    <row r="18" spans="1:63" ht="15.75" hidden="1" customHeight="1" outlineLevel="1" collapsed="1" thickBot="1">
      <c r="A18" s="248"/>
      <c r="B18" s="248"/>
      <c r="C18" s="266" t="s">
        <v>12</v>
      </c>
      <c r="D18" s="253" t="s">
        <v>10</v>
      </c>
      <c r="E18" s="252"/>
      <c r="F18" s="254">
        <v>0.15</v>
      </c>
      <c r="G18" s="254">
        <v>0.7</v>
      </c>
      <c r="H18" s="255">
        <v>5.7</v>
      </c>
      <c r="I18" s="255">
        <v>1.5</v>
      </c>
      <c r="J18" s="255">
        <v>3.1</v>
      </c>
      <c r="K18" s="255"/>
      <c r="L18" s="255">
        <v>0.4</v>
      </c>
      <c r="M18" s="257">
        <v>300</v>
      </c>
      <c r="N18" s="291">
        <v>0.65</v>
      </c>
      <c r="O18" s="294" t="str">
        <f t="shared" si="28"/>
        <v xml:space="preserve"> </v>
      </c>
      <c r="P18" s="314" t="str">
        <f t="shared" si="29"/>
        <v xml:space="preserve"> </v>
      </c>
      <c r="Q18" s="311" t="str">
        <f t="shared" si="30"/>
        <v xml:space="preserve"> </v>
      </c>
      <c r="R18" s="250"/>
      <c r="S18" s="151">
        <f t="shared" si="0"/>
        <v>0</v>
      </c>
      <c r="T18" s="298"/>
      <c r="U18" s="299"/>
      <c r="V18" s="152"/>
      <c r="W18" s="153" t="str">
        <f t="shared" si="31"/>
        <v xml:space="preserve"> </v>
      </c>
      <c r="X18" s="74" t="str">
        <f t="shared" si="32"/>
        <v xml:space="preserve"> </v>
      </c>
      <c r="Y18" s="74" t="str">
        <f t="shared" si="33"/>
        <v xml:space="preserve"> </v>
      </c>
      <c r="Z18" s="74" t="str">
        <f t="shared" si="34"/>
        <v xml:space="preserve"> </v>
      </c>
      <c r="AA18" s="74" t="str">
        <f t="shared" si="35"/>
        <v xml:space="preserve"> </v>
      </c>
      <c r="AB18" s="75" t="str">
        <f t="shared" si="36"/>
        <v xml:space="preserve"> </v>
      </c>
      <c r="AC18" s="76" t="str">
        <f t="shared" si="37"/>
        <v xml:space="preserve"> </v>
      </c>
      <c r="AD18" s="73">
        <f t="shared" si="1"/>
        <v>0</v>
      </c>
      <c r="AE18" s="73" t="str">
        <f t="shared" si="2"/>
        <v xml:space="preserve"> </v>
      </c>
      <c r="AF18" s="154">
        <f t="shared" si="3"/>
        <v>0.77211538461538454</v>
      </c>
      <c r="AG18" s="208" t="str">
        <f t="shared" si="4"/>
        <v xml:space="preserve"> </v>
      </c>
      <c r="AH18" s="208" t="str">
        <f t="shared" si="5"/>
        <v xml:space="preserve"> </v>
      </c>
      <c r="AI18" s="209" t="str">
        <f t="shared" si="6"/>
        <v xml:space="preserve"> </v>
      </c>
      <c r="AJ18" s="209" t="str">
        <f t="shared" si="7"/>
        <v xml:space="preserve"> </v>
      </c>
      <c r="AK18" s="209" t="str">
        <f t="shared" si="8"/>
        <v xml:space="preserve"> </v>
      </c>
      <c r="AL18" s="209" t="str">
        <f t="shared" si="9"/>
        <v xml:space="preserve"> </v>
      </c>
      <c r="AM18" s="209" t="str">
        <f t="shared" si="10"/>
        <v xml:space="preserve"> </v>
      </c>
      <c r="AN18" s="209"/>
      <c r="AO18" s="77"/>
      <c r="AP18" s="151">
        <f t="shared" si="11"/>
        <v>0</v>
      </c>
      <c r="AQ18" s="298"/>
      <c r="AR18" s="299"/>
      <c r="AS18" s="152"/>
      <c r="AT18" s="244" t="str">
        <f t="shared" si="12"/>
        <v xml:space="preserve"> </v>
      </c>
      <c r="AU18" s="245" t="str">
        <f t="shared" si="13"/>
        <v xml:space="preserve"> </v>
      </c>
      <c r="AV18" s="245" t="str">
        <f t="shared" si="14"/>
        <v xml:space="preserve"> </v>
      </c>
      <c r="AW18" s="245" t="str">
        <f t="shared" si="15"/>
        <v xml:space="preserve"> </v>
      </c>
      <c r="AX18" s="245" t="str">
        <f t="shared" si="16"/>
        <v xml:space="preserve"> </v>
      </c>
      <c r="AY18" s="245" t="str">
        <f t="shared" si="17"/>
        <v xml:space="preserve"> </v>
      </c>
      <c r="AZ18" s="246" t="str">
        <f t="shared" si="18"/>
        <v xml:space="preserve"> </v>
      </c>
      <c r="BA18" s="73">
        <f t="shared" si="19"/>
        <v>0</v>
      </c>
      <c r="BB18" s="73" t="str">
        <f t="shared" si="20"/>
        <v xml:space="preserve"> </v>
      </c>
      <c r="BC18" s="210" t="str">
        <f t="shared" si="21"/>
        <v xml:space="preserve"> </v>
      </c>
      <c r="BD18" s="210" t="str">
        <f t="shared" si="22"/>
        <v xml:space="preserve"> </v>
      </c>
      <c r="BE18" s="157" t="str">
        <f t="shared" si="23"/>
        <v xml:space="preserve"> </v>
      </c>
      <c r="BF18" s="157" t="str">
        <f t="shared" si="24"/>
        <v xml:space="preserve"> </v>
      </c>
      <c r="BG18" s="157" t="str">
        <f t="shared" si="25"/>
        <v xml:space="preserve"> </v>
      </c>
      <c r="BH18" s="157" t="str">
        <f t="shared" si="26"/>
        <v xml:space="preserve"> </v>
      </c>
      <c r="BI18" s="211" t="str">
        <f t="shared" si="27"/>
        <v xml:space="preserve"> </v>
      </c>
      <c r="BJ18" s="248"/>
      <c r="BK18" s="248"/>
    </row>
    <row r="19" spans="1:63" ht="15.75" hidden="1" customHeight="1" outlineLevel="1" thickBot="1">
      <c r="A19" s="248"/>
      <c r="B19" s="248"/>
      <c r="C19" s="266" t="s">
        <v>12</v>
      </c>
      <c r="D19" s="253" t="s">
        <v>11</v>
      </c>
      <c r="E19" s="252"/>
      <c r="F19" s="254">
        <v>0.15</v>
      </c>
      <c r="G19" s="254">
        <v>0.7</v>
      </c>
      <c r="H19" s="255">
        <v>5.4</v>
      </c>
      <c r="I19" s="255">
        <v>1.1000000000000001</v>
      </c>
      <c r="J19" s="255">
        <v>2.6</v>
      </c>
      <c r="K19" s="255"/>
      <c r="L19" s="255">
        <v>0.4</v>
      </c>
      <c r="M19" s="257">
        <v>300</v>
      </c>
      <c r="N19" s="291">
        <v>0.65</v>
      </c>
      <c r="O19" s="294" t="str">
        <f t="shared" si="28"/>
        <v xml:space="preserve"> </v>
      </c>
      <c r="P19" s="314" t="str">
        <f t="shared" si="29"/>
        <v xml:space="preserve"> </v>
      </c>
      <c r="Q19" s="311" t="str">
        <f t="shared" si="30"/>
        <v xml:space="preserve"> </v>
      </c>
      <c r="R19" s="250"/>
      <c r="S19" s="151">
        <f t="shared" si="0"/>
        <v>0</v>
      </c>
      <c r="T19" s="298"/>
      <c r="U19" s="299"/>
      <c r="V19" s="152"/>
      <c r="W19" s="153" t="str">
        <f t="shared" si="31"/>
        <v xml:space="preserve"> </v>
      </c>
      <c r="X19" s="74" t="str">
        <f t="shared" si="32"/>
        <v xml:space="preserve"> </v>
      </c>
      <c r="Y19" s="74" t="str">
        <f t="shared" si="33"/>
        <v xml:space="preserve"> </v>
      </c>
      <c r="Z19" s="74" t="str">
        <f t="shared" si="34"/>
        <v xml:space="preserve"> </v>
      </c>
      <c r="AA19" s="74" t="str">
        <f t="shared" si="35"/>
        <v xml:space="preserve"> </v>
      </c>
      <c r="AB19" s="75" t="str">
        <f t="shared" si="36"/>
        <v xml:space="preserve"> </v>
      </c>
      <c r="AC19" s="76" t="str">
        <f t="shared" si="37"/>
        <v xml:space="preserve"> </v>
      </c>
      <c r="AD19" s="73">
        <f t="shared" si="1"/>
        <v>0</v>
      </c>
      <c r="AE19" s="73" t="str">
        <f t="shared" si="2"/>
        <v xml:space="preserve"> </v>
      </c>
      <c r="AF19" s="154">
        <f t="shared" si="3"/>
        <v>0.77211538461538454</v>
      </c>
      <c r="AG19" s="208" t="str">
        <f t="shared" si="4"/>
        <v xml:space="preserve"> </v>
      </c>
      <c r="AH19" s="208" t="str">
        <f t="shared" si="5"/>
        <v xml:space="preserve"> </v>
      </c>
      <c r="AI19" s="209" t="str">
        <f t="shared" si="6"/>
        <v xml:space="preserve"> </v>
      </c>
      <c r="AJ19" s="209" t="str">
        <f t="shared" si="7"/>
        <v xml:space="preserve"> </v>
      </c>
      <c r="AK19" s="209" t="str">
        <f t="shared" si="8"/>
        <v xml:space="preserve"> </v>
      </c>
      <c r="AL19" s="209" t="str">
        <f t="shared" si="9"/>
        <v xml:space="preserve"> </v>
      </c>
      <c r="AM19" s="209" t="str">
        <f t="shared" si="10"/>
        <v xml:space="preserve"> </v>
      </c>
      <c r="AN19" s="209"/>
      <c r="AO19" s="77"/>
      <c r="AP19" s="151">
        <f t="shared" si="11"/>
        <v>0</v>
      </c>
      <c r="AQ19" s="298"/>
      <c r="AR19" s="299"/>
      <c r="AS19" s="152"/>
      <c r="AT19" s="244" t="str">
        <f t="shared" si="12"/>
        <v xml:space="preserve"> </v>
      </c>
      <c r="AU19" s="245" t="str">
        <f t="shared" si="13"/>
        <v xml:space="preserve"> </v>
      </c>
      <c r="AV19" s="245" t="str">
        <f t="shared" si="14"/>
        <v xml:space="preserve"> </v>
      </c>
      <c r="AW19" s="245" t="str">
        <f t="shared" si="15"/>
        <v xml:space="preserve"> </v>
      </c>
      <c r="AX19" s="245" t="str">
        <f t="shared" si="16"/>
        <v xml:space="preserve"> </v>
      </c>
      <c r="AY19" s="245" t="str">
        <f t="shared" si="17"/>
        <v xml:space="preserve"> </v>
      </c>
      <c r="AZ19" s="246" t="str">
        <f t="shared" si="18"/>
        <v xml:space="preserve"> </v>
      </c>
      <c r="BA19" s="73">
        <f t="shared" si="19"/>
        <v>0</v>
      </c>
      <c r="BB19" s="73" t="str">
        <f t="shared" si="20"/>
        <v xml:space="preserve"> </v>
      </c>
      <c r="BC19" s="210" t="str">
        <f t="shared" si="21"/>
        <v xml:space="preserve"> </v>
      </c>
      <c r="BD19" s="210" t="str">
        <f t="shared" si="22"/>
        <v xml:space="preserve"> </v>
      </c>
      <c r="BE19" s="157" t="str">
        <f t="shared" si="23"/>
        <v xml:space="preserve"> </v>
      </c>
      <c r="BF19" s="157" t="str">
        <f t="shared" si="24"/>
        <v xml:space="preserve"> </v>
      </c>
      <c r="BG19" s="157" t="str">
        <f t="shared" si="25"/>
        <v xml:space="preserve"> </v>
      </c>
      <c r="BH19" s="157" t="str">
        <f t="shared" si="26"/>
        <v xml:space="preserve"> </v>
      </c>
      <c r="BI19" s="211" t="str">
        <f t="shared" si="27"/>
        <v xml:space="preserve"> </v>
      </c>
      <c r="BJ19" s="248"/>
      <c r="BK19" s="248"/>
    </row>
    <row r="20" spans="1:63" ht="15.75" hidden="1" customHeight="1" outlineLevel="1" thickBot="1">
      <c r="A20" s="248"/>
      <c r="B20" s="248"/>
      <c r="C20" s="266" t="s">
        <v>12</v>
      </c>
      <c r="D20" s="253" t="s">
        <v>51</v>
      </c>
      <c r="E20" s="252"/>
      <c r="F20" s="254">
        <v>0.45</v>
      </c>
      <c r="G20" s="254">
        <v>0.7</v>
      </c>
      <c r="H20" s="255">
        <v>1.6</v>
      </c>
      <c r="I20" s="255">
        <v>0.48</v>
      </c>
      <c r="J20" s="255">
        <v>1.2</v>
      </c>
      <c r="K20" s="255"/>
      <c r="L20" s="255">
        <v>0.4</v>
      </c>
      <c r="M20" s="257">
        <v>300</v>
      </c>
      <c r="N20" s="291">
        <v>0.65</v>
      </c>
      <c r="O20" s="294" t="str">
        <f t="shared" si="28"/>
        <v xml:space="preserve"> </v>
      </c>
      <c r="P20" s="314" t="str">
        <f t="shared" si="29"/>
        <v xml:space="preserve"> </v>
      </c>
      <c r="Q20" s="311" t="str">
        <f t="shared" si="30"/>
        <v xml:space="preserve"> </v>
      </c>
      <c r="R20" s="250"/>
      <c r="S20" s="151">
        <f t="shared" si="0"/>
        <v>0</v>
      </c>
      <c r="T20" s="298"/>
      <c r="U20" s="299"/>
      <c r="V20" s="152"/>
      <c r="W20" s="153" t="str">
        <f t="shared" si="31"/>
        <v xml:space="preserve"> </v>
      </c>
      <c r="X20" s="74" t="str">
        <f t="shared" si="32"/>
        <v xml:space="preserve"> </v>
      </c>
      <c r="Y20" s="74" t="str">
        <f t="shared" si="33"/>
        <v xml:space="preserve"> </v>
      </c>
      <c r="Z20" s="74" t="str">
        <f t="shared" si="34"/>
        <v xml:space="preserve"> </v>
      </c>
      <c r="AA20" s="74" t="str">
        <f t="shared" si="35"/>
        <v xml:space="preserve"> </v>
      </c>
      <c r="AB20" s="75" t="str">
        <f t="shared" si="36"/>
        <v xml:space="preserve"> </v>
      </c>
      <c r="AC20" s="76" t="str">
        <f t="shared" si="37"/>
        <v xml:space="preserve"> </v>
      </c>
      <c r="AD20" s="73">
        <f t="shared" si="1"/>
        <v>0</v>
      </c>
      <c r="AE20" s="73" t="str">
        <f t="shared" si="2"/>
        <v xml:space="preserve"> </v>
      </c>
      <c r="AF20" s="154">
        <f t="shared" si="3"/>
        <v>0.77211538461538454</v>
      </c>
      <c r="AG20" s="208" t="str">
        <f t="shared" si="4"/>
        <v xml:space="preserve"> </v>
      </c>
      <c r="AH20" s="208" t="str">
        <f t="shared" si="5"/>
        <v xml:space="preserve"> </v>
      </c>
      <c r="AI20" s="209" t="str">
        <f t="shared" si="6"/>
        <v xml:space="preserve"> </v>
      </c>
      <c r="AJ20" s="209" t="str">
        <f t="shared" si="7"/>
        <v xml:space="preserve"> </v>
      </c>
      <c r="AK20" s="209" t="str">
        <f t="shared" si="8"/>
        <v xml:space="preserve"> </v>
      </c>
      <c r="AL20" s="209" t="str">
        <f t="shared" si="9"/>
        <v xml:space="preserve"> </v>
      </c>
      <c r="AM20" s="209" t="str">
        <f t="shared" si="10"/>
        <v xml:space="preserve"> </v>
      </c>
      <c r="AN20" s="209"/>
      <c r="AO20" s="77"/>
      <c r="AP20" s="151">
        <f t="shared" si="11"/>
        <v>0</v>
      </c>
      <c r="AQ20" s="298"/>
      <c r="AR20" s="299"/>
      <c r="AS20" s="152"/>
      <c r="AT20" s="244" t="str">
        <f t="shared" si="12"/>
        <v xml:space="preserve"> </v>
      </c>
      <c r="AU20" s="245" t="str">
        <f t="shared" si="13"/>
        <v xml:space="preserve"> </v>
      </c>
      <c r="AV20" s="245" t="str">
        <f t="shared" si="14"/>
        <v xml:space="preserve"> </v>
      </c>
      <c r="AW20" s="245" t="str">
        <f t="shared" si="15"/>
        <v xml:space="preserve"> </v>
      </c>
      <c r="AX20" s="245" t="str">
        <f t="shared" si="16"/>
        <v xml:space="preserve"> </v>
      </c>
      <c r="AY20" s="245" t="str">
        <f t="shared" si="17"/>
        <v xml:space="preserve"> </v>
      </c>
      <c r="AZ20" s="246" t="str">
        <f t="shared" si="18"/>
        <v xml:space="preserve"> </v>
      </c>
      <c r="BA20" s="73">
        <f t="shared" si="19"/>
        <v>0</v>
      </c>
      <c r="BB20" s="73" t="str">
        <f t="shared" si="20"/>
        <v xml:space="preserve"> </v>
      </c>
      <c r="BC20" s="210" t="str">
        <f t="shared" si="21"/>
        <v xml:space="preserve"> </v>
      </c>
      <c r="BD20" s="210" t="str">
        <f t="shared" si="22"/>
        <v xml:space="preserve"> </v>
      </c>
      <c r="BE20" s="157" t="str">
        <f t="shared" si="23"/>
        <v xml:space="preserve"> </v>
      </c>
      <c r="BF20" s="157" t="str">
        <f t="shared" si="24"/>
        <v xml:space="preserve"> </v>
      </c>
      <c r="BG20" s="157" t="str">
        <f t="shared" si="25"/>
        <v xml:space="preserve"> </v>
      </c>
      <c r="BH20" s="157" t="str">
        <f t="shared" si="26"/>
        <v xml:space="preserve"> </v>
      </c>
      <c r="BI20" s="211" t="str">
        <f t="shared" si="27"/>
        <v xml:space="preserve"> </v>
      </c>
      <c r="BJ20" s="248"/>
      <c r="BK20" s="248"/>
    </row>
    <row r="21" spans="1:63" ht="15.75" hidden="1" customHeight="1" outlineLevel="1" thickBot="1">
      <c r="A21" s="248"/>
      <c r="B21" s="248"/>
      <c r="C21" s="266" t="s">
        <v>13</v>
      </c>
      <c r="D21" s="253" t="s">
        <v>14</v>
      </c>
      <c r="E21" s="252"/>
      <c r="F21" s="254">
        <v>0.25</v>
      </c>
      <c r="G21" s="254">
        <v>0.8</v>
      </c>
      <c r="H21" s="255">
        <v>7.1</v>
      </c>
      <c r="I21" s="255">
        <v>1.9</v>
      </c>
      <c r="J21" s="255">
        <v>9.6</v>
      </c>
      <c r="K21" s="255"/>
      <c r="L21" s="255">
        <v>0.2</v>
      </c>
      <c r="M21" s="257">
        <v>250</v>
      </c>
      <c r="N21" s="291">
        <v>0.55000000000000004</v>
      </c>
      <c r="O21" s="294" t="str">
        <f t="shared" si="28"/>
        <v xml:space="preserve"> </v>
      </c>
      <c r="P21" s="314" t="str">
        <f t="shared" si="29"/>
        <v xml:space="preserve"> </v>
      </c>
      <c r="Q21" s="311" t="str">
        <f t="shared" si="30"/>
        <v xml:space="preserve"> </v>
      </c>
      <c r="R21" s="250"/>
      <c r="S21" s="151">
        <f t="shared" si="0"/>
        <v>0</v>
      </c>
      <c r="T21" s="298"/>
      <c r="U21" s="299"/>
      <c r="V21" s="152"/>
      <c r="W21" s="153" t="str">
        <f t="shared" si="31"/>
        <v xml:space="preserve"> </v>
      </c>
      <c r="X21" s="74" t="str">
        <f t="shared" si="32"/>
        <v xml:space="preserve"> </v>
      </c>
      <c r="Y21" s="74" t="str">
        <f t="shared" si="33"/>
        <v xml:space="preserve"> </v>
      </c>
      <c r="Z21" s="74" t="str">
        <f t="shared" si="34"/>
        <v xml:space="preserve"> </v>
      </c>
      <c r="AA21" s="74" t="str">
        <f t="shared" si="35"/>
        <v xml:space="preserve"> </v>
      </c>
      <c r="AB21" s="75" t="str">
        <f t="shared" si="36"/>
        <v xml:space="preserve"> </v>
      </c>
      <c r="AC21" s="76" t="str">
        <f t="shared" si="37"/>
        <v xml:space="preserve"> </v>
      </c>
      <c r="AD21" s="73">
        <f t="shared" si="1"/>
        <v>0</v>
      </c>
      <c r="AE21" s="73" t="str">
        <f t="shared" si="2"/>
        <v xml:space="preserve"> </v>
      </c>
      <c r="AF21" s="154">
        <f t="shared" si="3"/>
        <v>0.66428571428571426</v>
      </c>
      <c r="AG21" s="208" t="str">
        <f t="shared" si="4"/>
        <v xml:space="preserve"> </v>
      </c>
      <c r="AH21" s="208" t="str">
        <f t="shared" si="5"/>
        <v xml:space="preserve"> </v>
      </c>
      <c r="AI21" s="209" t="str">
        <f t="shared" si="6"/>
        <v xml:space="preserve"> </v>
      </c>
      <c r="AJ21" s="209" t="str">
        <f t="shared" si="7"/>
        <v xml:space="preserve"> </v>
      </c>
      <c r="AK21" s="209" t="str">
        <f t="shared" si="8"/>
        <v xml:space="preserve"> </v>
      </c>
      <c r="AL21" s="209" t="str">
        <f t="shared" si="9"/>
        <v xml:space="preserve"> </v>
      </c>
      <c r="AM21" s="209" t="str">
        <f t="shared" si="10"/>
        <v xml:space="preserve"> </v>
      </c>
      <c r="AN21" s="209"/>
      <c r="AO21" s="77"/>
      <c r="AP21" s="151">
        <f t="shared" si="11"/>
        <v>0</v>
      </c>
      <c r="AQ21" s="298"/>
      <c r="AR21" s="299"/>
      <c r="AS21" s="152"/>
      <c r="AT21" s="244" t="str">
        <f t="shared" si="12"/>
        <v xml:space="preserve"> </v>
      </c>
      <c r="AU21" s="245" t="str">
        <f t="shared" si="13"/>
        <v xml:space="preserve"> </v>
      </c>
      <c r="AV21" s="245" t="str">
        <f t="shared" si="14"/>
        <v xml:space="preserve"> </v>
      </c>
      <c r="AW21" s="245" t="str">
        <f t="shared" si="15"/>
        <v xml:space="preserve"> </v>
      </c>
      <c r="AX21" s="245" t="str">
        <f t="shared" si="16"/>
        <v xml:space="preserve"> </v>
      </c>
      <c r="AY21" s="245" t="str">
        <f t="shared" si="17"/>
        <v xml:space="preserve"> </v>
      </c>
      <c r="AZ21" s="246" t="str">
        <f t="shared" si="18"/>
        <v xml:space="preserve"> </v>
      </c>
      <c r="BA21" s="73">
        <f t="shared" si="19"/>
        <v>0</v>
      </c>
      <c r="BB21" s="73" t="str">
        <f t="shared" si="20"/>
        <v xml:space="preserve"> </v>
      </c>
      <c r="BC21" s="210" t="str">
        <f t="shared" si="21"/>
        <v xml:space="preserve"> </v>
      </c>
      <c r="BD21" s="210" t="str">
        <f t="shared" si="22"/>
        <v xml:space="preserve"> </v>
      </c>
      <c r="BE21" s="157" t="str">
        <f t="shared" si="23"/>
        <v xml:space="preserve"> </v>
      </c>
      <c r="BF21" s="157" t="str">
        <f t="shared" si="24"/>
        <v xml:space="preserve"> </v>
      </c>
      <c r="BG21" s="157" t="str">
        <f t="shared" si="25"/>
        <v xml:space="preserve"> </v>
      </c>
      <c r="BH21" s="157" t="str">
        <f t="shared" si="26"/>
        <v xml:space="preserve"> </v>
      </c>
      <c r="BI21" s="211" t="str">
        <f t="shared" si="27"/>
        <v xml:space="preserve"> </v>
      </c>
      <c r="BJ21" s="248"/>
      <c r="BK21" s="248"/>
    </row>
    <row r="22" spans="1:63" ht="15.75" hidden="1" customHeight="1" outlineLevel="1" thickBot="1">
      <c r="A22" s="248"/>
      <c r="B22" s="248"/>
      <c r="C22" s="266" t="s">
        <v>31</v>
      </c>
      <c r="D22" s="253" t="s">
        <v>15</v>
      </c>
      <c r="E22" s="252"/>
      <c r="F22" s="254">
        <v>0.25</v>
      </c>
      <c r="G22" s="254">
        <v>0.8</v>
      </c>
      <c r="H22" s="255">
        <v>6.7</v>
      </c>
      <c r="I22" s="255">
        <v>2.4</v>
      </c>
      <c r="J22" s="255">
        <v>5.0999999999999996</v>
      </c>
      <c r="K22" s="255"/>
      <c r="L22" s="255">
        <v>0.25</v>
      </c>
      <c r="M22" s="257">
        <v>250</v>
      </c>
      <c r="N22" s="291">
        <v>0.55000000000000004</v>
      </c>
      <c r="O22" s="294" t="str">
        <f t="shared" si="28"/>
        <v xml:space="preserve"> </v>
      </c>
      <c r="P22" s="314" t="str">
        <f t="shared" si="29"/>
        <v xml:space="preserve"> </v>
      </c>
      <c r="Q22" s="311" t="str">
        <f t="shared" si="30"/>
        <v xml:space="preserve"> </v>
      </c>
      <c r="R22" s="250"/>
      <c r="S22" s="151">
        <f t="shared" si="0"/>
        <v>0</v>
      </c>
      <c r="T22" s="298"/>
      <c r="U22" s="299"/>
      <c r="V22" s="152"/>
      <c r="W22" s="153" t="str">
        <f t="shared" si="31"/>
        <v xml:space="preserve"> </v>
      </c>
      <c r="X22" s="74" t="str">
        <f t="shared" si="32"/>
        <v xml:space="preserve"> </v>
      </c>
      <c r="Y22" s="74" t="str">
        <f t="shared" si="33"/>
        <v xml:space="preserve"> </v>
      </c>
      <c r="Z22" s="74" t="str">
        <f t="shared" si="34"/>
        <v xml:space="preserve"> </v>
      </c>
      <c r="AA22" s="74" t="str">
        <f t="shared" si="35"/>
        <v xml:space="preserve"> </v>
      </c>
      <c r="AB22" s="75" t="str">
        <f t="shared" si="36"/>
        <v xml:space="preserve"> </v>
      </c>
      <c r="AC22" s="76" t="str">
        <f t="shared" si="37"/>
        <v xml:space="preserve"> </v>
      </c>
      <c r="AD22" s="73">
        <f t="shared" si="1"/>
        <v>0</v>
      </c>
      <c r="AE22" s="73" t="str">
        <f t="shared" si="2"/>
        <v xml:space="preserve"> </v>
      </c>
      <c r="AF22" s="154">
        <f t="shared" si="3"/>
        <v>0.71428571428571419</v>
      </c>
      <c r="AG22" s="208" t="str">
        <f t="shared" si="4"/>
        <v xml:space="preserve"> </v>
      </c>
      <c r="AH22" s="208" t="str">
        <f t="shared" si="5"/>
        <v xml:space="preserve"> </v>
      </c>
      <c r="AI22" s="209" t="str">
        <f t="shared" si="6"/>
        <v xml:space="preserve"> </v>
      </c>
      <c r="AJ22" s="209" t="str">
        <f t="shared" si="7"/>
        <v xml:space="preserve"> </v>
      </c>
      <c r="AK22" s="209" t="str">
        <f t="shared" si="8"/>
        <v xml:space="preserve"> </v>
      </c>
      <c r="AL22" s="209" t="str">
        <f t="shared" si="9"/>
        <v xml:space="preserve"> </v>
      </c>
      <c r="AM22" s="209" t="str">
        <f t="shared" si="10"/>
        <v xml:space="preserve"> </v>
      </c>
      <c r="AN22" s="209"/>
      <c r="AO22" s="77"/>
      <c r="AP22" s="151">
        <f t="shared" si="11"/>
        <v>0</v>
      </c>
      <c r="AQ22" s="298"/>
      <c r="AR22" s="299"/>
      <c r="AS22" s="152"/>
      <c r="AT22" s="244" t="str">
        <f t="shared" si="12"/>
        <v xml:space="preserve"> </v>
      </c>
      <c r="AU22" s="245" t="str">
        <f t="shared" si="13"/>
        <v xml:space="preserve"> </v>
      </c>
      <c r="AV22" s="245" t="str">
        <f t="shared" si="14"/>
        <v xml:space="preserve"> </v>
      </c>
      <c r="AW22" s="245" t="str">
        <f t="shared" si="15"/>
        <v xml:space="preserve"> </v>
      </c>
      <c r="AX22" s="245" t="str">
        <f t="shared" si="16"/>
        <v xml:space="preserve"> </v>
      </c>
      <c r="AY22" s="245" t="str">
        <f t="shared" si="17"/>
        <v xml:space="preserve"> </v>
      </c>
      <c r="AZ22" s="246" t="str">
        <f t="shared" si="18"/>
        <v xml:space="preserve"> </v>
      </c>
      <c r="BA22" s="73">
        <f t="shared" si="19"/>
        <v>0</v>
      </c>
      <c r="BB22" s="73" t="str">
        <f t="shared" si="20"/>
        <v xml:space="preserve"> </v>
      </c>
      <c r="BC22" s="210" t="str">
        <f t="shared" si="21"/>
        <v xml:space="preserve"> </v>
      </c>
      <c r="BD22" s="210" t="str">
        <f t="shared" si="22"/>
        <v xml:space="preserve"> </v>
      </c>
      <c r="BE22" s="157" t="str">
        <f t="shared" si="23"/>
        <v xml:space="preserve"> </v>
      </c>
      <c r="BF22" s="157" t="str">
        <f t="shared" si="24"/>
        <v xml:space="preserve"> </v>
      </c>
      <c r="BG22" s="157" t="str">
        <f t="shared" si="25"/>
        <v xml:space="preserve"> </v>
      </c>
      <c r="BH22" s="157" t="str">
        <f t="shared" si="26"/>
        <v xml:space="preserve"> </v>
      </c>
      <c r="BI22" s="211" t="str">
        <f t="shared" si="27"/>
        <v xml:space="preserve"> </v>
      </c>
      <c r="BJ22" s="248"/>
      <c r="BK22" s="248"/>
    </row>
    <row r="23" spans="1:63" ht="12.75" hidden="1" customHeight="1" outlineLevel="1" thickBot="1">
      <c r="A23" s="248"/>
      <c r="B23" s="248"/>
      <c r="C23" s="267" t="s">
        <v>13</v>
      </c>
      <c r="D23" s="253" t="s">
        <v>95</v>
      </c>
      <c r="E23" s="252"/>
      <c r="F23" s="254">
        <v>0.3</v>
      </c>
      <c r="G23" s="254">
        <v>0.8</v>
      </c>
      <c r="H23" s="255">
        <v>9</v>
      </c>
      <c r="I23" s="255">
        <v>2.35</v>
      </c>
      <c r="J23" s="255">
        <v>16.149999999999999</v>
      </c>
      <c r="K23" s="255">
        <v>1.1000000000000001</v>
      </c>
      <c r="L23" s="255">
        <v>0.3</v>
      </c>
      <c r="M23" s="257">
        <v>250</v>
      </c>
      <c r="N23" s="291">
        <v>0.55000000000000004</v>
      </c>
      <c r="O23" s="294" t="str">
        <f t="shared" si="28"/>
        <v xml:space="preserve"> </v>
      </c>
      <c r="P23" s="314" t="str">
        <f t="shared" si="29"/>
        <v xml:space="preserve"> </v>
      </c>
      <c r="Q23" s="311" t="str">
        <f t="shared" si="30"/>
        <v xml:space="preserve"> </v>
      </c>
      <c r="R23" s="250"/>
      <c r="S23" s="151">
        <f t="shared" si="0"/>
        <v>0</v>
      </c>
      <c r="T23" s="298"/>
      <c r="U23" s="299"/>
      <c r="V23" s="152"/>
      <c r="W23" s="153" t="str">
        <f t="shared" si="31"/>
        <v xml:space="preserve"> </v>
      </c>
      <c r="X23" s="74" t="str">
        <f t="shared" si="32"/>
        <v xml:space="preserve"> </v>
      </c>
      <c r="Y23" s="74" t="str">
        <f t="shared" si="33"/>
        <v xml:space="preserve"> </v>
      </c>
      <c r="Z23" s="74" t="str">
        <f t="shared" si="34"/>
        <v xml:space="preserve"> </v>
      </c>
      <c r="AA23" s="74" t="str">
        <f t="shared" si="35"/>
        <v xml:space="preserve"> </v>
      </c>
      <c r="AB23" s="75" t="str">
        <f t="shared" si="36"/>
        <v xml:space="preserve"> </v>
      </c>
      <c r="AC23" s="76" t="str">
        <f t="shared" si="37"/>
        <v xml:space="preserve"> </v>
      </c>
      <c r="AD23" s="73">
        <f t="shared" si="1"/>
        <v>0</v>
      </c>
      <c r="AE23" s="73" t="str">
        <f t="shared" si="2"/>
        <v xml:space="preserve"> </v>
      </c>
      <c r="AF23" s="154">
        <f t="shared" si="3"/>
        <v>0.76428571428571423</v>
      </c>
      <c r="AG23" s="208" t="str">
        <f t="shared" si="4"/>
        <v xml:space="preserve"> </v>
      </c>
      <c r="AH23" s="208" t="str">
        <f t="shared" si="5"/>
        <v xml:space="preserve"> </v>
      </c>
      <c r="AI23" s="209" t="str">
        <f>IF($S23&gt;0,$S23*X23," ")</f>
        <v xml:space="preserve"> </v>
      </c>
      <c r="AJ23" s="209" t="str">
        <f>IF($S23&gt;0,$S23*Y23," ")</f>
        <v xml:space="preserve"> </v>
      </c>
      <c r="AK23" s="209" t="str">
        <f>IF($S23&gt;0,$S23*Z23," ")</f>
        <v xml:space="preserve"> </v>
      </c>
      <c r="AL23" s="209" t="str">
        <f>IF($S23&gt;0,$S23*AA23," ")</f>
        <v xml:space="preserve"> </v>
      </c>
      <c r="AM23" s="209" t="str">
        <f>IF(S23&gt;0,S23*V23*365/1000," ")</f>
        <v xml:space="preserve"> </v>
      </c>
      <c r="AN23" s="209"/>
      <c r="AO23" s="77"/>
      <c r="AP23" s="151">
        <f t="shared" si="11"/>
        <v>0</v>
      </c>
      <c r="AQ23" s="298"/>
      <c r="AR23" s="299"/>
      <c r="AS23" s="152"/>
      <c r="AT23" s="244" t="str">
        <f t="shared" si="12"/>
        <v xml:space="preserve"> </v>
      </c>
      <c r="AU23" s="245" t="str">
        <f t="shared" si="13"/>
        <v xml:space="preserve"> </v>
      </c>
      <c r="AV23" s="245" t="str">
        <f t="shared" si="14"/>
        <v xml:space="preserve"> </v>
      </c>
      <c r="AW23" s="245" t="str">
        <f t="shared" si="15"/>
        <v xml:space="preserve"> </v>
      </c>
      <c r="AX23" s="245" t="str">
        <f t="shared" si="16"/>
        <v xml:space="preserve"> </v>
      </c>
      <c r="AY23" s="245" t="str">
        <f t="shared" si="17"/>
        <v xml:space="preserve"> </v>
      </c>
      <c r="AZ23" s="246" t="str">
        <f t="shared" si="18"/>
        <v xml:space="preserve"> </v>
      </c>
      <c r="BA23" s="73">
        <f t="shared" si="19"/>
        <v>0</v>
      </c>
      <c r="BB23" s="73" t="str">
        <f t="shared" si="20"/>
        <v xml:space="preserve"> </v>
      </c>
      <c r="BC23" s="210" t="str">
        <f t="shared" si="21"/>
        <v xml:space="preserve"> </v>
      </c>
      <c r="BD23" s="210" t="str">
        <f t="shared" si="22"/>
        <v xml:space="preserve"> </v>
      </c>
      <c r="BE23" s="157" t="str">
        <f t="shared" si="23"/>
        <v xml:space="preserve"> </v>
      </c>
      <c r="BF23" s="157" t="str">
        <f t="shared" si="24"/>
        <v xml:space="preserve"> </v>
      </c>
      <c r="BG23" s="157" t="str">
        <f t="shared" si="25"/>
        <v xml:space="preserve"> </v>
      </c>
      <c r="BH23" s="157" t="str">
        <f t="shared" si="26"/>
        <v xml:space="preserve"> </v>
      </c>
      <c r="BI23" s="211" t="str">
        <f t="shared" si="27"/>
        <v xml:space="preserve"> </v>
      </c>
      <c r="BJ23" s="248"/>
      <c r="BK23" s="248"/>
    </row>
    <row r="24" spans="1:63" ht="12.75" hidden="1" customHeight="1" outlineLevel="1" thickBot="1">
      <c r="A24" s="248"/>
      <c r="B24" s="248"/>
      <c r="C24" s="267" t="s">
        <v>13</v>
      </c>
      <c r="D24" s="253" t="s">
        <v>96</v>
      </c>
      <c r="E24" s="252"/>
      <c r="F24" s="254">
        <v>0.3</v>
      </c>
      <c r="G24" s="254">
        <v>0.8</v>
      </c>
      <c r="H24" s="255">
        <v>7.3</v>
      </c>
      <c r="I24" s="255">
        <v>2.33</v>
      </c>
      <c r="J24" s="255">
        <v>14.63</v>
      </c>
      <c r="K24" s="255">
        <v>1.1000000000000001</v>
      </c>
      <c r="L24" s="255">
        <v>0.30136986301369867</v>
      </c>
      <c r="M24" s="257">
        <v>250</v>
      </c>
      <c r="N24" s="291">
        <v>0.55000000000000004</v>
      </c>
      <c r="O24" s="294" t="str">
        <f t="shared" si="28"/>
        <v xml:space="preserve"> </v>
      </c>
      <c r="P24" s="314" t="str">
        <f t="shared" si="29"/>
        <v xml:space="preserve"> </v>
      </c>
      <c r="Q24" s="311" t="str">
        <f t="shared" si="30"/>
        <v xml:space="preserve"> </v>
      </c>
      <c r="R24" s="250"/>
      <c r="S24" s="151">
        <f t="shared" si="0"/>
        <v>0</v>
      </c>
      <c r="T24" s="298"/>
      <c r="U24" s="299"/>
      <c r="V24" s="152"/>
      <c r="W24" s="153" t="str">
        <f t="shared" si="31"/>
        <v xml:space="preserve"> </v>
      </c>
      <c r="X24" s="74" t="str">
        <f t="shared" si="32"/>
        <v xml:space="preserve"> </v>
      </c>
      <c r="Y24" s="74" t="str">
        <f t="shared" si="33"/>
        <v xml:space="preserve"> </v>
      </c>
      <c r="Z24" s="74" t="str">
        <f t="shared" si="34"/>
        <v xml:space="preserve"> </v>
      </c>
      <c r="AA24" s="74" t="str">
        <f t="shared" si="35"/>
        <v xml:space="preserve"> </v>
      </c>
      <c r="AB24" s="75" t="str">
        <f t="shared" si="36"/>
        <v xml:space="preserve"> </v>
      </c>
      <c r="AC24" s="76" t="str">
        <f t="shared" si="37"/>
        <v xml:space="preserve"> </v>
      </c>
      <c r="AD24" s="73">
        <f t="shared" si="1"/>
        <v>0</v>
      </c>
      <c r="AE24" s="73" t="str">
        <f t="shared" si="2"/>
        <v xml:space="preserve"> </v>
      </c>
      <c r="AF24" s="154">
        <f t="shared" si="3"/>
        <v>0.76565557729941291</v>
      </c>
      <c r="AG24" s="208" t="str">
        <f t="shared" si="4"/>
        <v xml:space="preserve"> </v>
      </c>
      <c r="AH24" s="208" t="str">
        <f t="shared" si="5"/>
        <v xml:space="preserve"> </v>
      </c>
      <c r="AI24" s="209" t="str">
        <f t="shared" ref="AI24:AI75" si="38">IF($S24&gt;0,$S24*X24," ")</f>
        <v xml:space="preserve"> </v>
      </c>
      <c r="AJ24" s="209" t="str">
        <f t="shared" ref="AJ24:AJ75" si="39">IF($S24&gt;0,$S24*Y24," ")</f>
        <v xml:space="preserve"> </v>
      </c>
      <c r="AK24" s="209" t="str">
        <f t="shared" ref="AK24:AK75" si="40">IF($S24&gt;0,$S24*Z24," ")</f>
        <v xml:space="preserve"> </v>
      </c>
      <c r="AL24" s="209" t="str">
        <f t="shared" ref="AL24:AL75" si="41">IF($S24&gt;0,$S24*AA24," ")</f>
        <v xml:space="preserve"> </v>
      </c>
      <c r="AM24" s="209" t="str">
        <f t="shared" ref="AM24:AM75" si="42">IF(S24&gt;0,S24*V24*365/1000," ")</f>
        <v xml:space="preserve"> </v>
      </c>
      <c r="AN24" s="209"/>
      <c r="AO24" s="77"/>
      <c r="AP24" s="151">
        <f t="shared" si="11"/>
        <v>0</v>
      </c>
      <c r="AQ24" s="298"/>
      <c r="AR24" s="299"/>
      <c r="AS24" s="152"/>
      <c r="AT24" s="244" t="str">
        <f t="shared" si="12"/>
        <v xml:space="preserve"> </v>
      </c>
      <c r="AU24" s="245" t="str">
        <f t="shared" si="13"/>
        <v xml:space="preserve"> </v>
      </c>
      <c r="AV24" s="245" t="str">
        <f t="shared" si="14"/>
        <v xml:space="preserve"> </v>
      </c>
      <c r="AW24" s="245" t="str">
        <f t="shared" si="15"/>
        <v xml:space="preserve"> </v>
      </c>
      <c r="AX24" s="245" t="str">
        <f t="shared" si="16"/>
        <v xml:space="preserve"> </v>
      </c>
      <c r="AY24" s="245" t="str">
        <f t="shared" si="17"/>
        <v xml:space="preserve"> </v>
      </c>
      <c r="AZ24" s="246" t="str">
        <f t="shared" si="18"/>
        <v xml:space="preserve"> </v>
      </c>
      <c r="BA24" s="73">
        <f t="shared" si="19"/>
        <v>0</v>
      </c>
      <c r="BB24" s="73" t="str">
        <f t="shared" si="20"/>
        <v xml:space="preserve"> </v>
      </c>
      <c r="BC24" s="210" t="str">
        <f t="shared" si="21"/>
        <v xml:space="preserve"> </v>
      </c>
      <c r="BD24" s="210" t="str">
        <f t="shared" si="22"/>
        <v xml:space="preserve"> </v>
      </c>
      <c r="BE24" s="157" t="str">
        <f t="shared" si="23"/>
        <v xml:space="preserve"> </v>
      </c>
      <c r="BF24" s="157" t="str">
        <f t="shared" si="24"/>
        <v xml:space="preserve"> </v>
      </c>
      <c r="BG24" s="157" t="str">
        <f t="shared" si="25"/>
        <v xml:space="preserve"> </v>
      </c>
      <c r="BH24" s="157" t="str">
        <f t="shared" si="26"/>
        <v xml:space="preserve"> </v>
      </c>
      <c r="BI24" s="211" t="str">
        <f t="shared" si="27"/>
        <v xml:space="preserve"> </v>
      </c>
      <c r="BJ24" s="248"/>
      <c r="BK24" s="248"/>
    </row>
    <row r="25" spans="1:63" ht="12.75" hidden="1" customHeight="1" outlineLevel="1" thickBot="1">
      <c r="A25" s="248"/>
      <c r="B25" s="248"/>
      <c r="C25" s="267" t="s">
        <v>13</v>
      </c>
      <c r="D25" s="253" t="s">
        <v>97</v>
      </c>
      <c r="E25" s="252"/>
      <c r="F25" s="254">
        <v>0.25</v>
      </c>
      <c r="G25" s="254">
        <v>0.8</v>
      </c>
      <c r="H25" s="255">
        <v>4.5</v>
      </c>
      <c r="I25" s="255">
        <v>1.66</v>
      </c>
      <c r="J25" s="255">
        <v>4.99</v>
      </c>
      <c r="K25" s="255">
        <v>1.1000000000000001</v>
      </c>
      <c r="L25" s="255">
        <v>0.31111111111111112</v>
      </c>
      <c r="M25" s="257">
        <v>250</v>
      </c>
      <c r="N25" s="291">
        <v>0.55000000000000004</v>
      </c>
      <c r="O25" s="294" t="str">
        <f t="shared" si="28"/>
        <v xml:space="preserve"> </v>
      </c>
      <c r="P25" s="314" t="str">
        <f t="shared" si="29"/>
        <v xml:space="preserve"> </v>
      </c>
      <c r="Q25" s="311" t="str">
        <f t="shared" si="30"/>
        <v xml:space="preserve"> </v>
      </c>
      <c r="R25" s="250"/>
      <c r="S25" s="151">
        <f t="shared" si="0"/>
        <v>0</v>
      </c>
      <c r="T25" s="298"/>
      <c r="U25" s="299"/>
      <c r="V25" s="152"/>
      <c r="W25" s="153" t="str">
        <f t="shared" si="31"/>
        <v xml:space="preserve"> </v>
      </c>
      <c r="X25" s="74" t="str">
        <f t="shared" si="32"/>
        <v xml:space="preserve"> </v>
      </c>
      <c r="Y25" s="74" t="str">
        <f t="shared" si="33"/>
        <v xml:space="preserve"> </v>
      </c>
      <c r="Z25" s="74" t="str">
        <f t="shared" si="34"/>
        <v xml:space="preserve"> </v>
      </c>
      <c r="AA25" s="74" t="str">
        <f t="shared" si="35"/>
        <v xml:space="preserve"> </v>
      </c>
      <c r="AB25" s="75" t="str">
        <f t="shared" si="36"/>
        <v xml:space="preserve"> </v>
      </c>
      <c r="AC25" s="76" t="str">
        <f t="shared" si="37"/>
        <v xml:space="preserve"> </v>
      </c>
      <c r="AD25" s="73">
        <f t="shared" si="1"/>
        <v>0</v>
      </c>
      <c r="AE25" s="73" t="str">
        <f t="shared" si="2"/>
        <v xml:space="preserve"> </v>
      </c>
      <c r="AF25" s="154">
        <f t="shared" si="3"/>
        <v>0.77539682539682531</v>
      </c>
      <c r="AG25" s="208" t="str">
        <f t="shared" si="4"/>
        <v xml:space="preserve"> </v>
      </c>
      <c r="AH25" s="208" t="str">
        <f t="shared" si="5"/>
        <v xml:space="preserve"> </v>
      </c>
      <c r="AI25" s="209" t="str">
        <f t="shared" si="38"/>
        <v xml:space="preserve"> </v>
      </c>
      <c r="AJ25" s="209" t="str">
        <f t="shared" si="39"/>
        <v xml:space="preserve"> </v>
      </c>
      <c r="AK25" s="209" t="str">
        <f t="shared" si="40"/>
        <v xml:space="preserve"> </v>
      </c>
      <c r="AL25" s="209" t="str">
        <f t="shared" si="41"/>
        <v xml:space="preserve"> </v>
      </c>
      <c r="AM25" s="209" t="str">
        <f t="shared" si="42"/>
        <v xml:space="preserve"> </v>
      </c>
      <c r="AN25" s="209"/>
      <c r="AO25" s="77"/>
      <c r="AP25" s="151">
        <f t="shared" si="11"/>
        <v>0</v>
      </c>
      <c r="AQ25" s="298"/>
      <c r="AR25" s="299"/>
      <c r="AS25" s="152"/>
      <c r="AT25" s="244" t="str">
        <f t="shared" si="12"/>
        <v xml:space="preserve"> </v>
      </c>
      <c r="AU25" s="245" t="str">
        <f t="shared" si="13"/>
        <v xml:space="preserve"> </v>
      </c>
      <c r="AV25" s="245" t="str">
        <f t="shared" si="14"/>
        <v xml:space="preserve"> </v>
      </c>
      <c r="AW25" s="245" t="str">
        <f t="shared" si="15"/>
        <v xml:space="preserve"> </v>
      </c>
      <c r="AX25" s="245" t="str">
        <f t="shared" si="16"/>
        <v xml:space="preserve"> </v>
      </c>
      <c r="AY25" s="245" t="str">
        <f t="shared" si="17"/>
        <v xml:space="preserve"> </v>
      </c>
      <c r="AZ25" s="246" t="str">
        <f t="shared" si="18"/>
        <v xml:space="preserve"> </v>
      </c>
      <c r="BA25" s="73">
        <f t="shared" si="19"/>
        <v>0</v>
      </c>
      <c r="BB25" s="73" t="str">
        <f t="shared" si="20"/>
        <v xml:space="preserve"> </v>
      </c>
      <c r="BC25" s="210" t="str">
        <f t="shared" si="21"/>
        <v xml:space="preserve"> </v>
      </c>
      <c r="BD25" s="210" t="str">
        <f t="shared" si="22"/>
        <v xml:space="preserve"> </v>
      </c>
      <c r="BE25" s="157" t="str">
        <f t="shared" si="23"/>
        <v xml:space="preserve"> </v>
      </c>
      <c r="BF25" s="157" t="str">
        <f t="shared" si="24"/>
        <v xml:space="preserve"> </v>
      </c>
      <c r="BG25" s="157" t="str">
        <f t="shared" si="25"/>
        <v xml:space="preserve"> </v>
      </c>
      <c r="BH25" s="157" t="str">
        <f t="shared" si="26"/>
        <v xml:space="preserve"> </v>
      </c>
      <c r="BI25" s="211" t="str">
        <f t="shared" si="27"/>
        <v xml:space="preserve"> </v>
      </c>
      <c r="BJ25" s="248"/>
      <c r="BK25" s="248"/>
    </row>
    <row r="26" spans="1:63" ht="12.75" hidden="1" customHeight="1" outlineLevel="1" thickBot="1">
      <c r="A26" s="248"/>
      <c r="B26" s="248"/>
      <c r="C26" s="267" t="s">
        <v>13</v>
      </c>
      <c r="D26" s="253" t="s">
        <v>98</v>
      </c>
      <c r="E26" s="252"/>
      <c r="F26" s="254">
        <v>0.45</v>
      </c>
      <c r="G26" s="254">
        <v>0.8</v>
      </c>
      <c r="H26" s="255">
        <v>16.899999999999999</v>
      </c>
      <c r="I26" s="255">
        <v>6.51</v>
      </c>
      <c r="J26" s="255">
        <v>14.2</v>
      </c>
      <c r="K26" s="255">
        <v>2.2999999999999998</v>
      </c>
      <c r="L26" s="255">
        <v>0.34911242603550302</v>
      </c>
      <c r="M26" s="257">
        <v>250</v>
      </c>
      <c r="N26" s="291">
        <v>0.55000000000000004</v>
      </c>
      <c r="O26" s="294" t="str">
        <f t="shared" si="28"/>
        <v xml:space="preserve"> </v>
      </c>
      <c r="P26" s="314" t="str">
        <f t="shared" si="29"/>
        <v xml:space="preserve"> </v>
      </c>
      <c r="Q26" s="311" t="str">
        <f t="shared" si="30"/>
        <v xml:space="preserve"> </v>
      </c>
      <c r="R26" s="250"/>
      <c r="S26" s="151">
        <f t="shared" si="0"/>
        <v>0</v>
      </c>
      <c r="T26" s="298"/>
      <c r="U26" s="299"/>
      <c r="V26" s="152"/>
      <c r="W26" s="153" t="str">
        <f t="shared" si="31"/>
        <v xml:space="preserve"> </v>
      </c>
      <c r="X26" s="74" t="str">
        <f t="shared" si="32"/>
        <v xml:space="preserve"> </v>
      </c>
      <c r="Y26" s="74" t="str">
        <f t="shared" si="33"/>
        <v xml:space="preserve"> </v>
      </c>
      <c r="Z26" s="74" t="str">
        <f t="shared" si="34"/>
        <v xml:space="preserve"> </v>
      </c>
      <c r="AA26" s="74" t="str">
        <f t="shared" si="35"/>
        <v xml:space="preserve"> </v>
      </c>
      <c r="AB26" s="75" t="str">
        <f t="shared" si="36"/>
        <v xml:space="preserve"> </v>
      </c>
      <c r="AC26" s="76" t="str">
        <f t="shared" si="37"/>
        <v xml:space="preserve"> </v>
      </c>
      <c r="AD26" s="73">
        <f t="shared" si="1"/>
        <v>0</v>
      </c>
      <c r="AE26" s="73" t="str">
        <f t="shared" si="2"/>
        <v xml:space="preserve"> </v>
      </c>
      <c r="AF26" s="154">
        <f t="shared" si="3"/>
        <v>0.81339814032121727</v>
      </c>
      <c r="AG26" s="208" t="str">
        <f t="shared" si="4"/>
        <v xml:space="preserve"> </v>
      </c>
      <c r="AH26" s="208" t="str">
        <f t="shared" si="5"/>
        <v xml:space="preserve"> </v>
      </c>
      <c r="AI26" s="209" t="str">
        <f t="shared" si="38"/>
        <v xml:space="preserve"> </v>
      </c>
      <c r="AJ26" s="209" t="str">
        <f t="shared" si="39"/>
        <v xml:space="preserve"> </v>
      </c>
      <c r="AK26" s="209" t="str">
        <f t="shared" si="40"/>
        <v xml:space="preserve"> </v>
      </c>
      <c r="AL26" s="209" t="str">
        <f t="shared" si="41"/>
        <v xml:space="preserve"> </v>
      </c>
      <c r="AM26" s="209" t="str">
        <f t="shared" si="42"/>
        <v xml:space="preserve"> </v>
      </c>
      <c r="AN26" s="209"/>
      <c r="AO26" s="77"/>
      <c r="AP26" s="151">
        <f t="shared" si="11"/>
        <v>0</v>
      </c>
      <c r="AQ26" s="298"/>
      <c r="AR26" s="299"/>
      <c r="AS26" s="152"/>
      <c r="AT26" s="244" t="str">
        <f t="shared" si="12"/>
        <v xml:space="preserve"> </v>
      </c>
      <c r="AU26" s="245" t="str">
        <f t="shared" si="13"/>
        <v xml:space="preserve"> </v>
      </c>
      <c r="AV26" s="245" t="str">
        <f t="shared" si="14"/>
        <v xml:space="preserve"> </v>
      </c>
      <c r="AW26" s="245" t="str">
        <f t="shared" si="15"/>
        <v xml:space="preserve"> </v>
      </c>
      <c r="AX26" s="245" t="str">
        <f t="shared" si="16"/>
        <v xml:space="preserve"> </v>
      </c>
      <c r="AY26" s="245" t="str">
        <f t="shared" si="17"/>
        <v xml:space="preserve"> </v>
      </c>
      <c r="AZ26" s="246" t="str">
        <f t="shared" si="18"/>
        <v xml:space="preserve"> </v>
      </c>
      <c r="BA26" s="73">
        <f t="shared" si="19"/>
        <v>0</v>
      </c>
      <c r="BB26" s="73" t="str">
        <f t="shared" si="20"/>
        <v xml:space="preserve"> </v>
      </c>
      <c r="BC26" s="210" t="str">
        <f t="shared" si="21"/>
        <v xml:space="preserve"> </v>
      </c>
      <c r="BD26" s="210" t="str">
        <f t="shared" si="22"/>
        <v xml:space="preserve"> </v>
      </c>
      <c r="BE26" s="157" t="str">
        <f t="shared" si="23"/>
        <v xml:space="preserve"> </v>
      </c>
      <c r="BF26" s="157" t="str">
        <f t="shared" si="24"/>
        <v xml:space="preserve"> </v>
      </c>
      <c r="BG26" s="157" t="str">
        <f t="shared" si="25"/>
        <v xml:space="preserve"> </v>
      </c>
      <c r="BH26" s="157" t="str">
        <f t="shared" si="26"/>
        <v xml:space="preserve"> </v>
      </c>
      <c r="BI26" s="211" t="str">
        <f t="shared" si="27"/>
        <v xml:space="preserve"> </v>
      </c>
      <c r="BJ26" s="248"/>
      <c r="BK26" s="248"/>
    </row>
    <row r="27" spans="1:63" ht="15.75" hidden="1" customHeight="1" outlineLevel="1" thickBot="1">
      <c r="A27" s="248"/>
      <c r="B27" s="248"/>
      <c r="C27" s="266"/>
      <c r="D27" s="253"/>
      <c r="E27" s="252"/>
      <c r="F27" s="254"/>
      <c r="G27" s="254"/>
      <c r="H27" s="255"/>
      <c r="I27" s="255"/>
      <c r="J27" s="255"/>
      <c r="K27" s="255"/>
      <c r="L27" s="255"/>
      <c r="M27" s="257"/>
      <c r="N27" s="291"/>
      <c r="O27" s="294" t="str">
        <f t="shared" si="28"/>
        <v xml:space="preserve"> </v>
      </c>
      <c r="P27" s="314" t="str">
        <f t="shared" si="29"/>
        <v xml:space="preserve"> </v>
      </c>
      <c r="Q27" s="311" t="str">
        <f t="shared" si="30"/>
        <v xml:space="preserve"> </v>
      </c>
      <c r="R27" s="250"/>
      <c r="S27" s="151">
        <f t="shared" si="0"/>
        <v>0</v>
      </c>
      <c r="T27" s="298"/>
      <c r="U27" s="299"/>
      <c r="V27" s="152"/>
      <c r="W27" s="153" t="str">
        <f t="shared" si="31"/>
        <v xml:space="preserve"> </v>
      </c>
      <c r="X27" s="74" t="str">
        <f t="shared" si="32"/>
        <v xml:space="preserve"> </v>
      </c>
      <c r="Y27" s="74" t="str">
        <f t="shared" si="33"/>
        <v xml:space="preserve"> </v>
      </c>
      <c r="Z27" s="74" t="str">
        <f t="shared" si="34"/>
        <v xml:space="preserve"> </v>
      </c>
      <c r="AA27" s="74" t="str">
        <f t="shared" si="35"/>
        <v xml:space="preserve"> </v>
      </c>
      <c r="AB27" s="75" t="str">
        <f t="shared" si="36"/>
        <v xml:space="preserve"> </v>
      </c>
      <c r="AC27" s="76" t="str">
        <f t="shared" si="37"/>
        <v xml:space="preserve"> </v>
      </c>
      <c r="AD27" s="73">
        <f t="shared" si="1"/>
        <v>0</v>
      </c>
      <c r="AE27" s="73" t="str">
        <f t="shared" si="2"/>
        <v xml:space="preserve"> </v>
      </c>
      <c r="AF27" s="154" t="e">
        <f t="shared" si="3"/>
        <v>#DIV/0!</v>
      </c>
      <c r="AG27" s="208" t="str">
        <f t="shared" si="4"/>
        <v xml:space="preserve"> </v>
      </c>
      <c r="AH27" s="208" t="str">
        <f t="shared" si="5"/>
        <v xml:space="preserve"> </v>
      </c>
      <c r="AI27" s="209" t="str">
        <f t="shared" si="38"/>
        <v xml:space="preserve"> </v>
      </c>
      <c r="AJ27" s="209" t="str">
        <f t="shared" si="39"/>
        <v xml:space="preserve"> </v>
      </c>
      <c r="AK27" s="209" t="str">
        <f t="shared" si="40"/>
        <v xml:space="preserve"> </v>
      </c>
      <c r="AL27" s="209" t="str">
        <f t="shared" si="41"/>
        <v xml:space="preserve"> </v>
      </c>
      <c r="AM27" s="209" t="str">
        <f t="shared" si="42"/>
        <v xml:space="preserve"> </v>
      </c>
      <c r="AN27" s="209"/>
      <c r="AO27" s="77"/>
      <c r="AP27" s="151">
        <f t="shared" si="11"/>
        <v>0</v>
      </c>
      <c r="AQ27" s="298"/>
      <c r="AR27" s="299"/>
      <c r="AS27" s="152"/>
      <c r="AT27" s="244" t="str">
        <f t="shared" si="12"/>
        <v xml:space="preserve"> </v>
      </c>
      <c r="AU27" s="245" t="str">
        <f t="shared" si="13"/>
        <v xml:space="preserve"> </v>
      </c>
      <c r="AV27" s="245" t="str">
        <f t="shared" si="14"/>
        <v xml:space="preserve"> </v>
      </c>
      <c r="AW27" s="245" t="str">
        <f t="shared" si="15"/>
        <v xml:space="preserve"> </v>
      </c>
      <c r="AX27" s="245" t="str">
        <f t="shared" si="16"/>
        <v xml:space="preserve"> </v>
      </c>
      <c r="AY27" s="245" t="str">
        <f t="shared" si="17"/>
        <v xml:space="preserve"> </v>
      </c>
      <c r="AZ27" s="246" t="str">
        <f t="shared" si="18"/>
        <v xml:space="preserve"> </v>
      </c>
      <c r="BA27" s="73">
        <f t="shared" si="19"/>
        <v>0</v>
      </c>
      <c r="BB27" s="73" t="str">
        <f t="shared" si="20"/>
        <v xml:space="preserve"> </v>
      </c>
      <c r="BC27" s="210" t="str">
        <f t="shared" si="21"/>
        <v xml:space="preserve"> </v>
      </c>
      <c r="BD27" s="210" t="str">
        <f t="shared" si="22"/>
        <v xml:space="preserve"> </v>
      </c>
      <c r="BE27" s="157" t="str">
        <f t="shared" si="23"/>
        <v xml:space="preserve"> </v>
      </c>
      <c r="BF27" s="157" t="str">
        <f t="shared" si="24"/>
        <v xml:space="preserve"> </v>
      </c>
      <c r="BG27" s="157" t="str">
        <f t="shared" si="25"/>
        <v xml:space="preserve"> </v>
      </c>
      <c r="BH27" s="157" t="str">
        <f t="shared" si="26"/>
        <v xml:space="preserve"> </v>
      </c>
      <c r="BI27" s="211" t="str">
        <f t="shared" si="27"/>
        <v xml:space="preserve"> </v>
      </c>
      <c r="BJ27" s="248"/>
      <c r="BK27" s="248"/>
    </row>
    <row r="28" spans="1:63" ht="15.75" hidden="1" customHeight="1" outlineLevel="1" thickBot="1">
      <c r="A28" s="248"/>
      <c r="B28" s="248"/>
      <c r="C28" s="266"/>
      <c r="D28" s="253"/>
      <c r="E28" s="252"/>
      <c r="F28" s="254"/>
      <c r="G28" s="254"/>
      <c r="H28" s="255"/>
      <c r="I28" s="255"/>
      <c r="J28" s="255"/>
      <c r="K28" s="255"/>
      <c r="L28" s="255"/>
      <c r="M28" s="257"/>
      <c r="N28" s="291"/>
      <c r="O28" s="294" t="str">
        <f t="shared" si="28"/>
        <v xml:space="preserve"> </v>
      </c>
      <c r="P28" s="314" t="str">
        <f t="shared" si="29"/>
        <v xml:space="preserve"> </v>
      </c>
      <c r="Q28" s="311" t="str">
        <f t="shared" si="30"/>
        <v xml:space="preserve"> </v>
      </c>
      <c r="R28" s="250"/>
      <c r="S28" s="151">
        <f t="shared" si="0"/>
        <v>0</v>
      </c>
      <c r="T28" s="298"/>
      <c r="U28" s="299"/>
      <c r="V28" s="152"/>
      <c r="W28" s="153" t="str">
        <f t="shared" si="31"/>
        <v xml:space="preserve"> </v>
      </c>
      <c r="X28" s="74" t="str">
        <f t="shared" si="32"/>
        <v xml:space="preserve"> </v>
      </c>
      <c r="Y28" s="74" t="str">
        <f t="shared" si="33"/>
        <v xml:space="preserve"> </v>
      </c>
      <c r="Z28" s="74" t="str">
        <f t="shared" si="34"/>
        <v xml:space="preserve"> </v>
      </c>
      <c r="AA28" s="74" t="str">
        <f t="shared" si="35"/>
        <v xml:space="preserve"> </v>
      </c>
      <c r="AB28" s="75" t="str">
        <f t="shared" si="36"/>
        <v xml:space="preserve"> </v>
      </c>
      <c r="AC28" s="76" t="str">
        <f t="shared" si="37"/>
        <v xml:space="preserve"> </v>
      </c>
      <c r="AD28" s="73">
        <f t="shared" si="1"/>
        <v>0</v>
      </c>
      <c r="AE28" s="73" t="str">
        <f t="shared" si="2"/>
        <v xml:space="preserve"> </v>
      </c>
      <c r="AF28" s="154" t="e">
        <f t="shared" si="3"/>
        <v>#DIV/0!</v>
      </c>
      <c r="AG28" s="208" t="str">
        <f t="shared" si="4"/>
        <v xml:space="preserve"> </v>
      </c>
      <c r="AH28" s="208" t="str">
        <f t="shared" si="5"/>
        <v xml:space="preserve"> </v>
      </c>
      <c r="AI28" s="209" t="str">
        <f t="shared" si="38"/>
        <v xml:space="preserve"> </v>
      </c>
      <c r="AJ28" s="209" t="str">
        <f t="shared" si="39"/>
        <v xml:space="preserve"> </v>
      </c>
      <c r="AK28" s="209" t="str">
        <f t="shared" si="40"/>
        <v xml:space="preserve"> </v>
      </c>
      <c r="AL28" s="209" t="str">
        <f t="shared" si="41"/>
        <v xml:space="preserve"> </v>
      </c>
      <c r="AM28" s="209" t="str">
        <f t="shared" si="42"/>
        <v xml:space="preserve"> </v>
      </c>
      <c r="AN28" s="209"/>
      <c r="AO28" s="77"/>
      <c r="AP28" s="151">
        <f t="shared" si="11"/>
        <v>0</v>
      </c>
      <c r="AQ28" s="298"/>
      <c r="AR28" s="299"/>
      <c r="AS28" s="152"/>
      <c r="AT28" s="244" t="str">
        <f t="shared" si="12"/>
        <v xml:space="preserve"> </v>
      </c>
      <c r="AU28" s="245" t="str">
        <f t="shared" si="13"/>
        <v xml:space="preserve"> </v>
      </c>
      <c r="AV28" s="245" t="str">
        <f t="shared" si="14"/>
        <v xml:space="preserve"> </v>
      </c>
      <c r="AW28" s="245" t="str">
        <f t="shared" si="15"/>
        <v xml:space="preserve"> </v>
      </c>
      <c r="AX28" s="245" t="str">
        <f t="shared" si="16"/>
        <v xml:space="preserve"> </v>
      </c>
      <c r="AY28" s="245" t="str">
        <f t="shared" si="17"/>
        <v xml:space="preserve"> </v>
      </c>
      <c r="AZ28" s="246" t="str">
        <f t="shared" si="18"/>
        <v xml:space="preserve"> </v>
      </c>
      <c r="BA28" s="73">
        <f t="shared" si="19"/>
        <v>0</v>
      </c>
      <c r="BB28" s="73" t="str">
        <f t="shared" si="20"/>
        <v xml:space="preserve"> </v>
      </c>
      <c r="BC28" s="210" t="str">
        <f t="shared" si="21"/>
        <v xml:space="preserve"> </v>
      </c>
      <c r="BD28" s="210" t="str">
        <f t="shared" si="22"/>
        <v xml:space="preserve"> </v>
      </c>
      <c r="BE28" s="157" t="str">
        <f t="shared" si="23"/>
        <v xml:space="preserve"> </v>
      </c>
      <c r="BF28" s="157" t="str">
        <f t="shared" si="24"/>
        <v xml:space="preserve"> </v>
      </c>
      <c r="BG28" s="157" t="str">
        <f t="shared" si="25"/>
        <v xml:space="preserve"> </v>
      </c>
      <c r="BH28" s="157" t="str">
        <f t="shared" si="26"/>
        <v xml:space="preserve"> </v>
      </c>
      <c r="BI28" s="211" t="str">
        <f t="shared" si="27"/>
        <v xml:space="preserve"> </v>
      </c>
      <c r="BJ28" s="248"/>
      <c r="BK28" s="248"/>
    </row>
    <row r="29" spans="1:63" ht="15.75" hidden="1" customHeight="1" outlineLevel="1" thickBot="1">
      <c r="A29" s="248"/>
      <c r="B29" s="248"/>
      <c r="C29" s="266"/>
      <c r="D29" s="253"/>
      <c r="E29" s="252"/>
      <c r="F29" s="254"/>
      <c r="G29" s="254"/>
      <c r="H29" s="255"/>
      <c r="I29" s="255"/>
      <c r="J29" s="255"/>
      <c r="K29" s="255"/>
      <c r="L29" s="255"/>
      <c r="M29" s="257"/>
      <c r="N29" s="291"/>
      <c r="O29" s="294" t="str">
        <f t="shared" si="28"/>
        <v xml:space="preserve"> </v>
      </c>
      <c r="P29" s="314" t="str">
        <f t="shared" si="29"/>
        <v xml:space="preserve"> </v>
      </c>
      <c r="Q29" s="311" t="str">
        <f t="shared" si="30"/>
        <v xml:space="preserve"> </v>
      </c>
      <c r="R29" s="250"/>
      <c r="S29" s="151">
        <f t="shared" si="0"/>
        <v>0</v>
      </c>
      <c r="T29" s="459"/>
      <c r="U29" s="460"/>
      <c r="V29" s="152"/>
      <c r="W29" s="153" t="str">
        <f t="shared" si="31"/>
        <v xml:space="preserve"> </v>
      </c>
      <c r="X29" s="74" t="str">
        <f t="shared" si="32"/>
        <v xml:space="preserve"> </v>
      </c>
      <c r="Y29" s="74" t="str">
        <f t="shared" si="33"/>
        <v xml:space="preserve"> </v>
      </c>
      <c r="Z29" s="74" t="str">
        <f t="shared" si="34"/>
        <v xml:space="preserve"> </v>
      </c>
      <c r="AA29" s="74" t="str">
        <f t="shared" si="35"/>
        <v xml:space="preserve"> </v>
      </c>
      <c r="AB29" s="75" t="str">
        <f t="shared" si="36"/>
        <v xml:space="preserve"> </v>
      </c>
      <c r="AC29" s="76" t="str">
        <f t="shared" si="37"/>
        <v xml:space="preserve"> </v>
      </c>
      <c r="AD29" s="73">
        <f t="shared" si="1"/>
        <v>0</v>
      </c>
      <c r="AE29" s="73" t="str">
        <f t="shared" si="2"/>
        <v xml:space="preserve"> </v>
      </c>
      <c r="AF29" s="154" t="e">
        <f t="shared" si="3"/>
        <v>#DIV/0!</v>
      </c>
      <c r="AG29" s="208" t="str">
        <f t="shared" si="4"/>
        <v xml:space="preserve"> </v>
      </c>
      <c r="AH29" s="208" t="str">
        <f t="shared" si="5"/>
        <v xml:space="preserve"> </v>
      </c>
      <c r="AI29" s="209" t="str">
        <f t="shared" si="38"/>
        <v xml:space="preserve"> </v>
      </c>
      <c r="AJ29" s="209" t="str">
        <f t="shared" si="39"/>
        <v xml:space="preserve"> </v>
      </c>
      <c r="AK29" s="209" t="str">
        <f t="shared" si="40"/>
        <v xml:space="preserve"> </v>
      </c>
      <c r="AL29" s="209" t="str">
        <f t="shared" si="41"/>
        <v xml:space="preserve"> </v>
      </c>
      <c r="AM29" s="209" t="str">
        <f t="shared" si="42"/>
        <v xml:space="preserve"> </v>
      </c>
      <c r="AN29" s="209"/>
      <c r="AO29" s="77"/>
      <c r="AP29" s="151">
        <f t="shared" si="11"/>
        <v>0</v>
      </c>
      <c r="AQ29" s="459"/>
      <c r="AR29" s="460"/>
      <c r="AS29" s="152"/>
      <c r="AT29" s="244" t="str">
        <f t="shared" si="12"/>
        <v xml:space="preserve"> </v>
      </c>
      <c r="AU29" s="245" t="str">
        <f t="shared" si="13"/>
        <v xml:space="preserve"> </v>
      </c>
      <c r="AV29" s="245" t="str">
        <f t="shared" si="14"/>
        <v xml:space="preserve"> </v>
      </c>
      <c r="AW29" s="245" t="str">
        <f t="shared" si="15"/>
        <v xml:space="preserve"> </v>
      </c>
      <c r="AX29" s="245" t="str">
        <f t="shared" si="16"/>
        <v xml:space="preserve"> </v>
      </c>
      <c r="AY29" s="245" t="str">
        <f t="shared" si="17"/>
        <v xml:space="preserve"> </v>
      </c>
      <c r="AZ29" s="246" t="str">
        <f t="shared" si="18"/>
        <v xml:space="preserve"> </v>
      </c>
      <c r="BA29" s="73">
        <f t="shared" si="19"/>
        <v>0</v>
      </c>
      <c r="BB29" s="73" t="str">
        <f t="shared" si="20"/>
        <v xml:space="preserve"> </v>
      </c>
      <c r="BC29" s="210" t="str">
        <f t="shared" si="21"/>
        <v xml:space="preserve"> </v>
      </c>
      <c r="BD29" s="210" t="str">
        <f t="shared" si="22"/>
        <v xml:space="preserve"> </v>
      </c>
      <c r="BE29" s="157" t="str">
        <f t="shared" si="23"/>
        <v xml:space="preserve"> </v>
      </c>
      <c r="BF29" s="157" t="str">
        <f t="shared" si="24"/>
        <v xml:space="preserve"> </v>
      </c>
      <c r="BG29" s="157" t="str">
        <f t="shared" si="25"/>
        <v xml:space="preserve"> </v>
      </c>
      <c r="BH29" s="157" t="str">
        <f t="shared" si="26"/>
        <v xml:space="preserve"> </v>
      </c>
      <c r="BI29" s="211" t="str">
        <f t="shared" si="27"/>
        <v xml:space="preserve"> </v>
      </c>
      <c r="BJ29" s="248"/>
      <c r="BK29" s="248"/>
    </row>
    <row r="30" spans="1:63" ht="12.75" customHeight="1" collapsed="1" thickBot="1">
      <c r="A30" s="248"/>
      <c r="B30" s="248"/>
      <c r="C30" s="267" t="s">
        <v>100</v>
      </c>
      <c r="D30" s="399" t="s">
        <v>94</v>
      </c>
      <c r="E30" s="399"/>
      <c r="F30" s="254">
        <v>0.1</v>
      </c>
      <c r="G30" s="254">
        <v>0.8</v>
      </c>
      <c r="H30" s="255">
        <v>4.75</v>
      </c>
      <c r="I30" s="255">
        <v>0.83499999999999996</v>
      </c>
      <c r="J30" s="255">
        <v>5.54</v>
      </c>
      <c r="K30" s="255">
        <v>0.625</v>
      </c>
      <c r="L30" s="255">
        <v>0.49473684210526309</v>
      </c>
      <c r="M30" s="400">
        <v>210</v>
      </c>
      <c r="N30" s="401">
        <v>0.55000000000000004</v>
      </c>
      <c r="O30" s="294" t="str">
        <f t="shared" si="28"/>
        <v xml:space="preserve"> </v>
      </c>
      <c r="P30" s="314" t="str">
        <f t="shared" si="29"/>
        <v xml:space="preserve"> </v>
      </c>
      <c r="Q30" s="311" t="str">
        <f t="shared" si="30"/>
        <v xml:space="preserve"> </v>
      </c>
      <c r="R30" s="250"/>
      <c r="S30" s="458">
        <f t="shared" si="0"/>
        <v>0</v>
      </c>
      <c r="T30" s="463"/>
      <c r="U30" s="464"/>
      <c r="V30" s="152"/>
      <c r="W30" s="153" t="str">
        <f t="shared" si="31"/>
        <v xml:space="preserve"> </v>
      </c>
      <c r="X30" s="74" t="str">
        <f t="shared" si="32"/>
        <v xml:space="preserve"> </v>
      </c>
      <c r="Y30" s="74" t="str">
        <f t="shared" si="33"/>
        <v xml:space="preserve"> </v>
      </c>
      <c r="Z30" s="74" t="str">
        <f t="shared" si="34"/>
        <v xml:space="preserve"> </v>
      </c>
      <c r="AA30" s="74" t="str">
        <f t="shared" si="35"/>
        <v xml:space="preserve"> </v>
      </c>
      <c r="AB30" s="75" t="str">
        <f t="shared" si="36"/>
        <v xml:space="preserve"> </v>
      </c>
      <c r="AC30" s="76" t="str">
        <f t="shared" si="37"/>
        <v xml:space="preserve"> </v>
      </c>
      <c r="AD30" s="73">
        <f t="shared" si="1"/>
        <v>0</v>
      </c>
      <c r="AE30" s="73" t="str">
        <f t="shared" si="2"/>
        <v xml:space="preserve"> </v>
      </c>
      <c r="AF30" s="154">
        <f t="shared" si="3"/>
        <v>0.88473684210526304</v>
      </c>
      <c r="AG30" s="208" t="str">
        <f t="shared" si="4"/>
        <v xml:space="preserve"> </v>
      </c>
      <c r="AH30" s="208" t="str">
        <f t="shared" si="5"/>
        <v xml:space="preserve"> </v>
      </c>
      <c r="AI30" s="209" t="str">
        <f t="shared" si="38"/>
        <v xml:space="preserve"> </v>
      </c>
      <c r="AJ30" s="209" t="str">
        <f t="shared" si="39"/>
        <v xml:space="preserve"> </v>
      </c>
      <c r="AK30" s="209" t="str">
        <f t="shared" si="40"/>
        <v xml:space="preserve"> </v>
      </c>
      <c r="AL30" s="209" t="str">
        <f t="shared" si="41"/>
        <v xml:space="preserve"> </v>
      </c>
      <c r="AM30" s="209" t="str">
        <f t="shared" si="42"/>
        <v xml:space="preserve"> </v>
      </c>
      <c r="AN30" s="209"/>
      <c r="AO30" s="77"/>
      <c r="AP30" s="458">
        <f t="shared" si="11"/>
        <v>0</v>
      </c>
      <c r="AQ30" s="463"/>
      <c r="AR30" s="464"/>
      <c r="AS30" s="152"/>
      <c r="AT30" s="244" t="str">
        <f t="shared" si="12"/>
        <v xml:space="preserve"> </v>
      </c>
      <c r="AU30" s="245" t="str">
        <f t="shared" si="13"/>
        <v xml:space="preserve"> </v>
      </c>
      <c r="AV30" s="245" t="str">
        <f t="shared" si="14"/>
        <v xml:space="preserve"> </v>
      </c>
      <c r="AW30" s="245" t="str">
        <f t="shared" si="15"/>
        <v xml:space="preserve"> </v>
      </c>
      <c r="AX30" s="245" t="str">
        <f t="shared" si="16"/>
        <v xml:space="preserve"> </v>
      </c>
      <c r="AY30" s="245" t="str">
        <f t="shared" si="17"/>
        <v xml:space="preserve"> </v>
      </c>
      <c r="AZ30" s="246" t="str">
        <f t="shared" si="18"/>
        <v xml:space="preserve"> </v>
      </c>
      <c r="BA30" s="73">
        <f t="shared" si="19"/>
        <v>0</v>
      </c>
      <c r="BB30" s="73" t="str">
        <f t="shared" si="20"/>
        <v xml:space="preserve"> </v>
      </c>
      <c r="BC30" s="210" t="str">
        <f t="shared" si="21"/>
        <v xml:space="preserve"> </v>
      </c>
      <c r="BD30" s="210" t="str">
        <f t="shared" si="22"/>
        <v xml:space="preserve"> </v>
      </c>
      <c r="BE30" s="157" t="str">
        <f t="shared" si="23"/>
        <v xml:space="preserve"> </v>
      </c>
      <c r="BF30" s="157" t="str">
        <f t="shared" si="24"/>
        <v xml:space="preserve"> </v>
      </c>
      <c r="BG30" s="157" t="str">
        <f t="shared" si="25"/>
        <v xml:space="preserve"> </v>
      </c>
      <c r="BH30" s="157" t="str">
        <f t="shared" si="26"/>
        <v xml:space="preserve"> </v>
      </c>
      <c r="BI30" s="211" t="str">
        <f t="shared" si="27"/>
        <v xml:space="preserve"> </v>
      </c>
      <c r="BJ30" s="248"/>
      <c r="BK30" s="248"/>
    </row>
    <row r="31" spans="1:63" ht="12.75" customHeight="1" thickBot="1">
      <c r="A31" s="248"/>
      <c r="B31" s="248"/>
      <c r="C31" s="267" t="s">
        <v>100</v>
      </c>
      <c r="D31" s="399" t="s">
        <v>15</v>
      </c>
      <c r="E31" s="399"/>
      <c r="F31" s="254">
        <v>0.1</v>
      </c>
      <c r="G31" s="254">
        <v>0.8</v>
      </c>
      <c r="H31" s="255">
        <v>9.4</v>
      </c>
      <c r="I31" s="255">
        <v>2.8149999999999999</v>
      </c>
      <c r="J31" s="255">
        <v>5.25</v>
      </c>
      <c r="K31" s="255">
        <v>0.75</v>
      </c>
      <c r="L31" s="255">
        <v>0.6542553191489362</v>
      </c>
      <c r="M31" s="400">
        <v>250</v>
      </c>
      <c r="N31" s="401">
        <v>0.6</v>
      </c>
      <c r="O31" s="294">
        <f t="shared" si="28"/>
        <v>13.698630136986301</v>
      </c>
      <c r="P31" s="314">
        <f t="shared" si="29"/>
        <v>0.06</v>
      </c>
      <c r="Q31" s="311" t="str">
        <f t="shared" si="30"/>
        <v xml:space="preserve"> </v>
      </c>
      <c r="R31" s="250"/>
      <c r="S31" s="458">
        <f t="shared" si="0"/>
        <v>13.698630136986301</v>
      </c>
      <c r="T31" s="465">
        <v>5000</v>
      </c>
      <c r="U31" s="466">
        <v>0.06</v>
      </c>
      <c r="V31" s="152"/>
      <c r="W31" s="153">
        <f t="shared" si="31"/>
        <v>0.8</v>
      </c>
      <c r="X31" s="74">
        <f t="shared" si="32"/>
        <v>5.6399999999999988</v>
      </c>
      <c r="Y31" s="74">
        <f t="shared" si="33"/>
        <v>1.6889999999999998</v>
      </c>
      <c r="Z31" s="74">
        <f t="shared" si="34"/>
        <v>3.15</v>
      </c>
      <c r="AA31" s="74">
        <f t="shared" si="35"/>
        <v>0.44999999999999996</v>
      </c>
      <c r="AB31" s="75">
        <f t="shared" si="36"/>
        <v>250</v>
      </c>
      <c r="AC31" s="76">
        <f t="shared" si="37"/>
        <v>0.6</v>
      </c>
      <c r="AD31" s="73">
        <f t="shared" si="1"/>
        <v>0.82191780821917804</v>
      </c>
      <c r="AE31" s="73">
        <f t="shared" si="2"/>
        <v>0.65753424657534243</v>
      </c>
      <c r="AF31" s="154">
        <f t="shared" si="3"/>
        <v>1.0590172239108411</v>
      </c>
      <c r="AG31" s="208">
        <f>IF(S31&gt;0,S31*U31*W31*AB31," ")</f>
        <v>164.38356164383561</v>
      </c>
      <c r="AH31" s="208">
        <f t="shared" si="5"/>
        <v>273.97260273972603</v>
      </c>
      <c r="AI31" s="209">
        <f t="shared" si="38"/>
        <v>77.260273972602718</v>
      </c>
      <c r="AJ31" s="209">
        <f t="shared" si="39"/>
        <v>23.136986301369859</v>
      </c>
      <c r="AK31" s="209">
        <f t="shared" si="40"/>
        <v>43.150684931506845</v>
      </c>
      <c r="AL31" s="209">
        <f t="shared" si="41"/>
        <v>6.1643835616438345</v>
      </c>
      <c r="AM31" s="209">
        <f t="shared" si="42"/>
        <v>0</v>
      </c>
      <c r="AN31" s="209"/>
      <c r="AO31" s="77"/>
      <c r="AP31" s="458">
        <f t="shared" si="11"/>
        <v>8.2191780821917817</v>
      </c>
      <c r="AQ31" s="465">
        <v>3000</v>
      </c>
      <c r="AR31" s="466">
        <v>0.06</v>
      </c>
      <c r="AS31" s="152"/>
      <c r="AT31" s="244">
        <f t="shared" si="12"/>
        <v>0.8</v>
      </c>
      <c r="AU31" s="245">
        <f t="shared" si="13"/>
        <v>5.6399999999999988</v>
      </c>
      <c r="AV31" s="245">
        <f t="shared" si="14"/>
        <v>1.6889999999999998</v>
      </c>
      <c r="AW31" s="245">
        <f t="shared" si="15"/>
        <v>3.15</v>
      </c>
      <c r="AX31" s="245">
        <f t="shared" si="16"/>
        <v>0.44999999999999996</v>
      </c>
      <c r="AY31" s="245">
        <f t="shared" si="17"/>
        <v>250</v>
      </c>
      <c r="AZ31" s="246">
        <f t="shared" si="18"/>
        <v>0.6</v>
      </c>
      <c r="BA31" s="73">
        <f t="shared" si="19"/>
        <v>0.49315068493150688</v>
      </c>
      <c r="BB31" s="73">
        <f t="shared" si="20"/>
        <v>0.39452054794520552</v>
      </c>
      <c r="BC31" s="210">
        <f>IF(AP31&gt;0,AP31*AR31*AY31*AT31," ")</f>
        <v>98.63013698630138</v>
      </c>
      <c r="BD31" s="210">
        <f t="shared" si="22"/>
        <v>164.38356164383563</v>
      </c>
      <c r="BE31" s="157">
        <f t="shared" si="23"/>
        <v>46.356164383561641</v>
      </c>
      <c r="BF31" s="157">
        <f t="shared" si="24"/>
        <v>13.882191780821918</v>
      </c>
      <c r="BG31" s="157">
        <f t="shared" si="25"/>
        <v>25.890410958904113</v>
      </c>
      <c r="BH31" s="157">
        <f t="shared" si="26"/>
        <v>3.6986301369863015</v>
      </c>
      <c r="BI31" s="211">
        <f t="shared" si="27"/>
        <v>0</v>
      </c>
      <c r="BJ31" s="248"/>
      <c r="BK31" s="248"/>
    </row>
    <row r="32" spans="1:63" ht="12.75" customHeight="1" thickBot="1">
      <c r="A32" s="248"/>
      <c r="B32" s="248"/>
      <c r="C32" s="267" t="s">
        <v>12</v>
      </c>
      <c r="D32" s="399" t="s">
        <v>101</v>
      </c>
      <c r="E32" s="399"/>
      <c r="F32" s="254">
        <v>0.28000000000000003</v>
      </c>
      <c r="G32" s="254">
        <v>0.7</v>
      </c>
      <c r="H32" s="255">
        <v>17.100000000000001</v>
      </c>
      <c r="I32" s="255">
        <v>4.76</v>
      </c>
      <c r="J32" s="255">
        <v>6.89</v>
      </c>
      <c r="K32" s="255">
        <v>2.4</v>
      </c>
      <c r="L32" s="255">
        <v>0.17543859649122806</v>
      </c>
      <c r="M32" s="400">
        <v>280</v>
      </c>
      <c r="N32" s="401">
        <v>0.55000000000000004</v>
      </c>
      <c r="O32" s="294" t="str">
        <f t="shared" si="28"/>
        <v xml:space="preserve"> </v>
      </c>
      <c r="P32" s="314" t="str">
        <f t="shared" si="29"/>
        <v xml:space="preserve"> </v>
      </c>
      <c r="Q32" s="311" t="str">
        <f t="shared" si="30"/>
        <v xml:space="preserve"> </v>
      </c>
      <c r="R32" s="250"/>
      <c r="S32" s="458">
        <f t="shared" si="0"/>
        <v>0</v>
      </c>
      <c r="T32" s="465"/>
      <c r="U32" s="466"/>
      <c r="V32" s="152"/>
      <c r="W32" s="153" t="str">
        <f t="shared" si="31"/>
        <v xml:space="preserve"> </v>
      </c>
      <c r="X32" s="74" t="str">
        <f t="shared" si="32"/>
        <v xml:space="preserve"> </v>
      </c>
      <c r="Y32" s="74" t="str">
        <f t="shared" si="33"/>
        <v xml:space="preserve"> </v>
      </c>
      <c r="Z32" s="74" t="str">
        <f t="shared" si="34"/>
        <v xml:space="preserve"> </v>
      </c>
      <c r="AA32" s="74" t="str">
        <f t="shared" si="35"/>
        <v xml:space="preserve"> </v>
      </c>
      <c r="AB32" s="75" t="str">
        <f t="shared" si="36"/>
        <v xml:space="preserve"> </v>
      </c>
      <c r="AC32" s="76" t="str">
        <f t="shared" si="37"/>
        <v xml:space="preserve"> </v>
      </c>
      <c r="AD32" s="73">
        <f t="shared" si="1"/>
        <v>0</v>
      </c>
      <c r="AE32" s="73" t="str">
        <f t="shared" si="2"/>
        <v xml:space="preserve"> </v>
      </c>
      <c r="AF32" s="154">
        <f t="shared" si="3"/>
        <v>0.63043859649122802</v>
      </c>
      <c r="AG32" s="208" t="str">
        <f t="shared" si="4"/>
        <v xml:space="preserve"> </v>
      </c>
      <c r="AH32" s="208" t="str">
        <f t="shared" si="5"/>
        <v xml:space="preserve"> </v>
      </c>
      <c r="AI32" s="209" t="str">
        <f t="shared" si="38"/>
        <v xml:space="preserve"> </v>
      </c>
      <c r="AJ32" s="209" t="str">
        <f t="shared" si="39"/>
        <v xml:space="preserve"> </v>
      </c>
      <c r="AK32" s="209" t="str">
        <f t="shared" si="40"/>
        <v xml:space="preserve"> </v>
      </c>
      <c r="AL32" s="209" t="str">
        <f t="shared" si="41"/>
        <v xml:space="preserve"> </v>
      </c>
      <c r="AM32" s="209" t="str">
        <f t="shared" si="42"/>
        <v xml:space="preserve"> </v>
      </c>
      <c r="AN32" s="209"/>
      <c r="AO32" s="77"/>
      <c r="AP32" s="458">
        <f t="shared" si="11"/>
        <v>0</v>
      </c>
      <c r="AQ32" s="465"/>
      <c r="AR32" s="466"/>
      <c r="AS32" s="152"/>
      <c r="AT32" s="244" t="str">
        <f t="shared" si="12"/>
        <v xml:space="preserve"> </v>
      </c>
      <c r="AU32" s="245" t="str">
        <f t="shared" si="13"/>
        <v xml:space="preserve"> </v>
      </c>
      <c r="AV32" s="245" t="str">
        <f t="shared" si="14"/>
        <v xml:space="preserve"> </v>
      </c>
      <c r="AW32" s="245" t="str">
        <f t="shared" si="15"/>
        <v xml:space="preserve"> </v>
      </c>
      <c r="AX32" s="245" t="str">
        <f t="shared" si="16"/>
        <v xml:space="preserve"> </v>
      </c>
      <c r="AY32" s="245" t="str">
        <f t="shared" si="17"/>
        <v xml:space="preserve"> </v>
      </c>
      <c r="AZ32" s="246" t="str">
        <f t="shared" si="18"/>
        <v xml:space="preserve"> </v>
      </c>
      <c r="BA32" s="73">
        <f t="shared" si="19"/>
        <v>0</v>
      </c>
      <c r="BB32" s="73" t="str">
        <f t="shared" si="20"/>
        <v xml:space="preserve"> </v>
      </c>
      <c r="BC32" s="210" t="str">
        <f t="shared" ref="BC32:BC85" si="43">IF(AP32&gt;0,AP32*AR32*AY32*AT32," ")</f>
        <v xml:space="preserve"> </v>
      </c>
      <c r="BD32" s="210" t="str">
        <f t="shared" si="22"/>
        <v xml:space="preserve"> </v>
      </c>
      <c r="BE32" s="157" t="str">
        <f t="shared" si="23"/>
        <v xml:space="preserve"> </v>
      </c>
      <c r="BF32" s="157" t="str">
        <f t="shared" si="24"/>
        <v xml:space="preserve"> </v>
      </c>
      <c r="BG32" s="157" t="str">
        <f t="shared" si="25"/>
        <v xml:space="preserve"> </v>
      </c>
      <c r="BH32" s="157" t="str">
        <f t="shared" si="26"/>
        <v xml:space="preserve"> </v>
      </c>
      <c r="BI32" s="211" t="str">
        <f t="shared" si="27"/>
        <v xml:space="preserve"> </v>
      </c>
      <c r="BJ32" s="248"/>
      <c r="BK32" s="248"/>
    </row>
    <row r="33" spans="1:63" ht="12.75" customHeight="1" thickBot="1">
      <c r="A33" s="248"/>
      <c r="B33" s="248"/>
      <c r="C33" s="267" t="s">
        <v>12</v>
      </c>
      <c r="D33" s="399" t="s">
        <v>102</v>
      </c>
      <c r="E33" s="399"/>
      <c r="F33" s="254">
        <v>0.5</v>
      </c>
      <c r="G33" s="254">
        <v>0.7</v>
      </c>
      <c r="H33" s="255">
        <v>28.6</v>
      </c>
      <c r="I33" s="255">
        <v>10.039999999999999</v>
      </c>
      <c r="J33" s="255">
        <v>16.68</v>
      </c>
      <c r="K33" s="255">
        <v>3.13</v>
      </c>
      <c r="L33" s="255">
        <v>0.38111888111888109</v>
      </c>
      <c r="M33" s="400">
        <v>280</v>
      </c>
      <c r="N33" s="401">
        <v>0.55000000000000004</v>
      </c>
      <c r="O33" s="294" t="str">
        <f t="shared" si="28"/>
        <v xml:space="preserve"> </v>
      </c>
      <c r="P33" s="314" t="str">
        <f t="shared" si="29"/>
        <v xml:space="preserve"> </v>
      </c>
      <c r="Q33" s="311" t="str">
        <f t="shared" si="30"/>
        <v xml:space="preserve"> </v>
      </c>
      <c r="R33" s="250"/>
      <c r="S33" s="458">
        <f t="shared" si="0"/>
        <v>0</v>
      </c>
      <c r="T33" s="465"/>
      <c r="U33" s="466"/>
      <c r="V33" s="152"/>
      <c r="W33" s="153" t="str">
        <f t="shared" si="31"/>
        <v xml:space="preserve"> </v>
      </c>
      <c r="X33" s="74" t="str">
        <f t="shared" si="32"/>
        <v xml:space="preserve"> </v>
      </c>
      <c r="Y33" s="74" t="str">
        <f t="shared" si="33"/>
        <v xml:space="preserve"> </v>
      </c>
      <c r="Z33" s="74" t="str">
        <f t="shared" si="34"/>
        <v xml:space="preserve"> </v>
      </c>
      <c r="AA33" s="74" t="str">
        <f t="shared" si="35"/>
        <v xml:space="preserve"> </v>
      </c>
      <c r="AB33" s="75" t="str">
        <f t="shared" si="36"/>
        <v xml:space="preserve"> </v>
      </c>
      <c r="AC33" s="76" t="str">
        <f t="shared" si="37"/>
        <v xml:space="preserve"> </v>
      </c>
      <c r="AD33" s="73">
        <f t="shared" si="1"/>
        <v>0</v>
      </c>
      <c r="AE33" s="73" t="str">
        <f t="shared" si="2"/>
        <v xml:space="preserve"> </v>
      </c>
      <c r="AF33" s="154">
        <f t="shared" si="3"/>
        <v>0.836118881118881</v>
      </c>
      <c r="AG33" s="208" t="str">
        <f t="shared" si="4"/>
        <v xml:space="preserve"> </v>
      </c>
      <c r="AH33" s="208" t="str">
        <f t="shared" si="5"/>
        <v xml:space="preserve"> </v>
      </c>
      <c r="AI33" s="209" t="str">
        <f t="shared" si="38"/>
        <v xml:space="preserve"> </v>
      </c>
      <c r="AJ33" s="209" t="str">
        <f t="shared" si="39"/>
        <v xml:space="preserve"> </v>
      </c>
      <c r="AK33" s="209" t="str">
        <f t="shared" si="40"/>
        <v xml:space="preserve"> </v>
      </c>
      <c r="AL33" s="209" t="str">
        <f t="shared" si="41"/>
        <v xml:space="preserve"> </v>
      </c>
      <c r="AM33" s="209" t="str">
        <f t="shared" si="42"/>
        <v xml:space="preserve"> </v>
      </c>
      <c r="AN33" s="209"/>
      <c r="AO33" s="77"/>
      <c r="AP33" s="458">
        <f t="shared" si="11"/>
        <v>0</v>
      </c>
      <c r="AQ33" s="465"/>
      <c r="AR33" s="466"/>
      <c r="AS33" s="152"/>
      <c r="AT33" s="244" t="str">
        <f t="shared" si="12"/>
        <v xml:space="preserve"> </v>
      </c>
      <c r="AU33" s="245" t="str">
        <f t="shared" si="13"/>
        <v xml:space="preserve"> </v>
      </c>
      <c r="AV33" s="245" t="str">
        <f t="shared" si="14"/>
        <v xml:space="preserve"> </v>
      </c>
      <c r="AW33" s="245" t="str">
        <f t="shared" si="15"/>
        <v xml:space="preserve"> </v>
      </c>
      <c r="AX33" s="245" t="str">
        <f t="shared" si="16"/>
        <v xml:space="preserve"> </v>
      </c>
      <c r="AY33" s="245" t="str">
        <f t="shared" si="17"/>
        <v xml:space="preserve"> </v>
      </c>
      <c r="AZ33" s="246" t="str">
        <f t="shared" si="18"/>
        <v xml:space="preserve"> </v>
      </c>
      <c r="BA33" s="73">
        <f t="shared" si="19"/>
        <v>0</v>
      </c>
      <c r="BB33" s="73" t="str">
        <f t="shared" si="20"/>
        <v xml:space="preserve"> </v>
      </c>
      <c r="BC33" s="210" t="str">
        <f t="shared" si="43"/>
        <v xml:space="preserve"> </v>
      </c>
      <c r="BD33" s="210" t="str">
        <f t="shared" si="22"/>
        <v xml:space="preserve"> </v>
      </c>
      <c r="BE33" s="157" t="str">
        <f>IF($AP33&gt;0,$AP33*AU32," ")</f>
        <v xml:space="preserve"> </v>
      </c>
      <c r="BF33" s="157" t="str">
        <f t="shared" si="24"/>
        <v xml:space="preserve"> </v>
      </c>
      <c r="BG33" s="157" t="str">
        <f t="shared" si="25"/>
        <v xml:space="preserve"> </v>
      </c>
      <c r="BH33" s="157" t="str">
        <f t="shared" si="26"/>
        <v xml:space="preserve"> </v>
      </c>
      <c r="BI33" s="211" t="str">
        <f t="shared" si="27"/>
        <v xml:space="preserve"> </v>
      </c>
      <c r="BJ33" s="248"/>
      <c r="BK33" s="248"/>
    </row>
    <row r="34" spans="1:63" ht="12.75" customHeight="1" thickBot="1">
      <c r="A34" s="248"/>
      <c r="B34" s="248"/>
      <c r="C34" s="267" t="s">
        <v>12</v>
      </c>
      <c r="D34" s="399" t="s">
        <v>119</v>
      </c>
      <c r="E34" s="399"/>
      <c r="F34" s="254">
        <v>0.7</v>
      </c>
      <c r="G34" s="254">
        <v>0.7</v>
      </c>
      <c r="H34" s="255">
        <v>32.1</v>
      </c>
      <c r="I34" s="255">
        <v>13.48</v>
      </c>
      <c r="J34" s="255">
        <v>18.09</v>
      </c>
      <c r="K34" s="255">
        <v>4.74</v>
      </c>
      <c r="L34" s="255">
        <v>0.34267912772585668</v>
      </c>
      <c r="M34" s="400">
        <v>280</v>
      </c>
      <c r="N34" s="401">
        <v>0.55000000000000004</v>
      </c>
      <c r="O34" s="294" t="str">
        <f t="shared" si="28"/>
        <v xml:space="preserve"> </v>
      </c>
      <c r="P34" s="314" t="str">
        <f t="shared" si="29"/>
        <v xml:space="preserve"> </v>
      </c>
      <c r="Q34" s="311" t="str">
        <f t="shared" si="30"/>
        <v xml:space="preserve"> </v>
      </c>
      <c r="R34" s="250"/>
      <c r="S34" s="458">
        <f t="shared" si="0"/>
        <v>0</v>
      </c>
      <c r="T34" s="465"/>
      <c r="U34" s="466"/>
      <c r="V34" s="152"/>
      <c r="W34" s="153" t="str">
        <f t="shared" si="31"/>
        <v xml:space="preserve"> </v>
      </c>
      <c r="X34" s="74" t="str">
        <f t="shared" si="32"/>
        <v xml:space="preserve"> </v>
      </c>
      <c r="Y34" s="74" t="str">
        <f t="shared" si="33"/>
        <v xml:space="preserve"> </v>
      </c>
      <c r="Z34" s="74" t="str">
        <f t="shared" si="34"/>
        <v xml:space="preserve"> </v>
      </c>
      <c r="AA34" s="74" t="str">
        <f t="shared" si="35"/>
        <v xml:space="preserve"> </v>
      </c>
      <c r="AB34" s="75" t="str">
        <f t="shared" si="36"/>
        <v xml:space="preserve"> </v>
      </c>
      <c r="AC34" s="76" t="str">
        <f t="shared" si="37"/>
        <v xml:space="preserve"> </v>
      </c>
      <c r="AD34" s="73">
        <f t="shared" si="1"/>
        <v>0</v>
      </c>
      <c r="AE34" s="73" t="str">
        <f t="shared" si="2"/>
        <v xml:space="preserve"> </v>
      </c>
      <c r="AF34" s="154">
        <f t="shared" si="3"/>
        <v>0.79767912772585658</v>
      </c>
      <c r="AG34" s="208" t="str">
        <f t="shared" si="4"/>
        <v xml:space="preserve"> </v>
      </c>
      <c r="AH34" s="208" t="str">
        <f t="shared" si="5"/>
        <v xml:space="preserve"> </v>
      </c>
      <c r="AI34" s="209" t="str">
        <f t="shared" si="38"/>
        <v xml:space="preserve"> </v>
      </c>
      <c r="AJ34" s="209" t="str">
        <f t="shared" si="39"/>
        <v xml:space="preserve"> </v>
      </c>
      <c r="AK34" s="209" t="str">
        <f t="shared" si="40"/>
        <v xml:space="preserve"> </v>
      </c>
      <c r="AL34" s="209" t="str">
        <f t="shared" si="41"/>
        <v xml:space="preserve"> </v>
      </c>
      <c r="AM34" s="209" t="str">
        <f t="shared" si="42"/>
        <v xml:space="preserve"> </v>
      </c>
      <c r="AN34" s="209"/>
      <c r="AO34" s="77"/>
      <c r="AP34" s="458">
        <f t="shared" si="11"/>
        <v>0</v>
      </c>
      <c r="AQ34" s="465"/>
      <c r="AR34" s="466"/>
      <c r="AS34" s="152"/>
      <c r="AT34" s="244" t="str">
        <f t="shared" si="12"/>
        <v xml:space="preserve"> </v>
      </c>
      <c r="AU34" s="245" t="str">
        <f t="shared" si="13"/>
        <v xml:space="preserve"> </v>
      </c>
      <c r="AV34" s="245" t="str">
        <f t="shared" si="14"/>
        <v xml:space="preserve"> </v>
      </c>
      <c r="AW34" s="245" t="str">
        <f t="shared" si="15"/>
        <v xml:space="preserve"> </v>
      </c>
      <c r="AX34" s="245" t="str">
        <f t="shared" si="16"/>
        <v xml:space="preserve"> </v>
      </c>
      <c r="AY34" s="245" t="str">
        <f t="shared" si="17"/>
        <v xml:space="preserve"> </v>
      </c>
      <c r="AZ34" s="246" t="str">
        <f t="shared" si="18"/>
        <v xml:space="preserve"> </v>
      </c>
      <c r="BA34" s="73">
        <f t="shared" si="19"/>
        <v>0</v>
      </c>
      <c r="BB34" s="73" t="str">
        <f t="shared" si="20"/>
        <v xml:space="preserve"> </v>
      </c>
      <c r="BC34" s="210" t="str">
        <f t="shared" si="43"/>
        <v xml:space="preserve"> </v>
      </c>
      <c r="BD34" s="210" t="str">
        <f t="shared" si="22"/>
        <v xml:space="preserve"> </v>
      </c>
      <c r="BE34" s="157" t="str">
        <f t="shared" si="23"/>
        <v xml:space="preserve"> </v>
      </c>
      <c r="BF34" s="157" t="str">
        <f t="shared" si="24"/>
        <v xml:space="preserve"> </v>
      </c>
      <c r="BG34" s="157" t="str">
        <f t="shared" si="25"/>
        <v xml:space="preserve"> </v>
      </c>
      <c r="BH34" s="157" t="str">
        <f t="shared" si="26"/>
        <v xml:space="preserve"> </v>
      </c>
      <c r="BI34" s="211" t="str">
        <f t="shared" si="27"/>
        <v xml:space="preserve"> </v>
      </c>
      <c r="BJ34" s="248"/>
      <c r="BK34" s="248"/>
    </row>
    <row r="35" spans="1:63" ht="12.75" customHeight="1" thickBot="1">
      <c r="A35" s="248"/>
      <c r="B35" s="248"/>
      <c r="C35" s="267" t="s">
        <v>13</v>
      </c>
      <c r="D35" s="399" t="s">
        <v>94</v>
      </c>
      <c r="E35" s="399"/>
      <c r="F35" s="254">
        <v>0.25</v>
      </c>
      <c r="G35" s="254">
        <v>0.8</v>
      </c>
      <c r="H35" s="255">
        <v>6.1</v>
      </c>
      <c r="I35" s="255">
        <v>1.42</v>
      </c>
      <c r="J35" s="255">
        <v>10.38</v>
      </c>
      <c r="K35" s="255">
        <v>0.8</v>
      </c>
      <c r="L35" s="255">
        <v>0.19672131147540983</v>
      </c>
      <c r="M35" s="400">
        <v>250</v>
      </c>
      <c r="N35" s="401">
        <v>0.55000000000000004</v>
      </c>
      <c r="O35" s="294" t="str">
        <f t="shared" si="28"/>
        <v xml:space="preserve"> </v>
      </c>
      <c r="P35" s="314" t="str">
        <f t="shared" si="29"/>
        <v xml:space="preserve"> </v>
      </c>
      <c r="Q35" s="311" t="str">
        <f t="shared" si="30"/>
        <v xml:space="preserve"> </v>
      </c>
      <c r="R35" s="250"/>
      <c r="S35" s="458">
        <f t="shared" si="0"/>
        <v>0</v>
      </c>
      <c r="T35" s="465"/>
      <c r="U35" s="466"/>
      <c r="V35" s="152"/>
      <c r="W35" s="153" t="str">
        <f t="shared" si="31"/>
        <v xml:space="preserve"> </v>
      </c>
      <c r="X35" s="74" t="str">
        <f t="shared" si="32"/>
        <v xml:space="preserve"> </v>
      </c>
      <c r="Y35" s="74" t="str">
        <f t="shared" si="33"/>
        <v xml:space="preserve"> </v>
      </c>
      <c r="Z35" s="74" t="str">
        <f t="shared" si="34"/>
        <v xml:space="preserve"> </v>
      </c>
      <c r="AA35" s="74" t="str">
        <f t="shared" si="35"/>
        <v xml:space="preserve"> </v>
      </c>
      <c r="AB35" s="75" t="str">
        <f t="shared" si="36"/>
        <v xml:space="preserve"> </v>
      </c>
      <c r="AC35" s="76" t="str">
        <f t="shared" si="37"/>
        <v xml:space="preserve"> </v>
      </c>
      <c r="AD35" s="73">
        <f t="shared" si="1"/>
        <v>0</v>
      </c>
      <c r="AE35" s="73" t="str">
        <f t="shared" si="2"/>
        <v xml:space="preserve"> </v>
      </c>
      <c r="AF35" s="154">
        <f t="shared" si="3"/>
        <v>0.66100702576112402</v>
      </c>
      <c r="AG35" s="208" t="str">
        <f t="shared" si="4"/>
        <v xml:space="preserve"> </v>
      </c>
      <c r="AH35" s="208" t="str">
        <f t="shared" si="5"/>
        <v xml:space="preserve"> </v>
      </c>
      <c r="AI35" s="209" t="str">
        <f t="shared" si="38"/>
        <v xml:space="preserve"> </v>
      </c>
      <c r="AJ35" s="209" t="str">
        <f t="shared" si="39"/>
        <v xml:space="preserve"> </v>
      </c>
      <c r="AK35" s="209" t="str">
        <f t="shared" si="40"/>
        <v xml:space="preserve"> </v>
      </c>
      <c r="AL35" s="209" t="str">
        <f t="shared" si="41"/>
        <v xml:space="preserve"> </v>
      </c>
      <c r="AM35" s="209" t="str">
        <f t="shared" si="42"/>
        <v xml:space="preserve"> </v>
      </c>
      <c r="AN35" s="209"/>
      <c r="AO35" s="77"/>
      <c r="AP35" s="458">
        <f t="shared" si="11"/>
        <v>0</v>
      </c>
      <c r="AQ35" s="465"/>
      <c r="AR35" s="466"/>
      <c r="AS35" s="152"/>
      <c r="AT35" s="244" t="str">
        <f t="shared" si="12"/>
        <v xml:space="preserve"> </v>
      </c>
      <c r="AU35" s="245" t="str">
        <f t="shared" si="13"/>
        <v xml:space="preserve"> </v>
      </c>
      <c r="AV35" s="245" t="str">
        <f t="shared" si="14"/>
        <v xml:space="preserve"> </v>
      </c>
      <c r="AW35" s="245" t="str">
        <f t="shared" si="15"/>
        <v xml:space="preserve"> </v>
      </c>
      <c r="AX35" s="245" t="str">
        <f t="shared" si="16"/>
        <v xml:space="preserve"> </v>
      </c>
      <c r="AY35" s="245" t="str">
        <f t="shared" si="17"/>
        <v xml:space="preserve"> </v>
      </c>
      <c r="AZ35" s="246" t="str">
        <f t="shared" si="18"/>
        <v xml:space="preserve"> </v>
      </c>
      <c r="BA35" s="73">
        <f t="shared" si="19"/>
        <v>0</v>
      </c>
      <c r="BB35" s="73" t="str">
        <f t="shared" si="20"/>
        <v xml:space="preserve"> </v>
      </c>
      <c r="BC35" s="210" t="str">
        <f t="shared" si="43"/>
        <v xml:space="preserve"> </v>
      </c>
      <c r="BD35" s="210" t="str">
        <f t="shared" si="22"/>
        <v xml:space="preserve"> </v>
      </c>
      <c r="BE35" s="157" t="str">
        <f t="shared" si="23"/>
        <v xml:space="preserve"> </v>
      </c>
      <c r="BF35" s="157" t="str">
        <f t="shared" si="24"/>
        <v xml:space="preserve"> </v>
      </c>
      <c r="BG35" s="157" t="str">
        <f t="shared" si="25"/>
        <v xml:space="preserve"> </v>
      </c>
      <c r="BH35" s="157" t="str">
        <f t="shared" si="26"/>
        <v xml:space="preserve"> </v>
      </c>
      <c r="BI35" s="211" t="str">
        <f t="shared" si="27"/>
        <v xml:space="preserve"> </v>
      </c>
      <c r="BJ35" s="248"/>
      <c r="BK35" s="248"/>
    </row>
    <row r="36" spans="1:63" ht="12.75" customHeight="1" thickBot="1">
      <c r="A36" s="248"/>
      <c r="B36" s="248"/>
      <c r="C36" s="267" t="s">
        <v>13</v>
      </c>
      <c r="D36" s="399" t="s">
        <v>15</v>
      </c>
      <c r="E36" s="399"/>
      <c r="F36" s="254">
        <v>0.25</v>
      </c>
      <c r="G36" s="254">
        <v>0.8</v>
      </c>
      <c r="H36" s="255">
        <v>7.1</v>
      </c>
      <c r="I36" s="255">
        <v>2.35</v>
      </c>
      <c r="J36" s="255">
        <v>5.39</v>
      </c>
      <c r="K36" s="255">
        <v>1.3</v>
      </c>
      <c r="L36" s="255">
        <v>0.25352112676056338</v>
      </c>
      <c r="M36" s="400">
        <v>250</v>
      </c>
      <c r="N36" s="401">
        <v>0.55000000000000004</v>
      </c>
      <c r="O36" s="294" t="str">
        <f t="shared" si="28"/>
        <v xml:space="preserve"> </v>
      </c>
      <c r="P36" s="314" t="str">
        <f t="shared" si="29"/>
        <v xml:space="preserve"> </v>
      </c>
      <c r="Q36" s="311" t="str">
        <f t="shared" si="30"/>
        <v xml:space="preserve"> </v>
      </c>
      <c r="R36" s="250"/>
      <c r="S36" s="458">
        <f t="shared" si="0"/>
        <v>0</v>
      </c>
      <c r="T36" s="465"/>
      <c r="U36" s="466"/>
      <c r="V36" s="152"/>
      <c r="W36" s="153" t="str">
        <f t="shared" si="31"/>
        <v xml:space="preserve"> </v>
      </c>
      <c r="X36" s="74" t="str">
        <f t="shared" si="32"/>
        <v xml:space="preserve"> </v>
      </c>
      <c r="Y36" s="74" t="str">
        <f t="shared" si="33"/>
        <v xml:space="preserve"> </v>
      </c>
      <c r="Z36" s="74" t="str">
        <f t="shared" si="34"/>
        <v xml:space="preserve"> </v>
      </c>
      <c r="AA36" s="74" t="str">
        <f t="shared" si="35"/>
        <v xml:space="preserve"> </v>
      </c>
      <c r="AB36" s="75" t="str">
        <f t="shared" si="36"/>
        <v xml:space="preserve"> </v>
      </c>
      <c r="AC36" s="76" t="str">
        <f t="shared" si="37"/>
        <v xml:space="preserve"> </v>
      </c>
      <c r="AD36" s="73">
        <f t="shared" si="1"/>
        <v>0</v>
      </c>
      <c r="AE36" s="73" t="str">
        <f t="shared" si="2"/>
        <v xml:space="preserve"> </v>
      </c>
      <c r="AF36" s="154">
        <f t="shared" si="3"/>
        <v>0.71780684104627768</v>
      </c>
      <c r="AG36" s="208" t="str">
        <f t="shared" si="4"/>
        <v xml:space="preserve"> </v>
      </c>
      <c r="AH36" s="208" t="str">
        <f t="shared" si="5"/>
        <v xml:space="preserve"> </v>
      </c>
      <c r="AI36" s="209" t="str">
        <f t="shared" si="38"/>
        <v xml:space="preserve"> </v>
      </c>
      <c r="AJ36" s="209" t="str">
        <f t="shared" si="39"/>
        <v xml:space="preserve"> </v>
      </c>
      <c r="AK36" s="209" t="str">
        <f t="shared" si="40"/>
        <v xml:space="preserve"> </v>
      </c>
      <c r="AL36" s="209" t="str">
        <f t="shared" si="41"/>
        <v xml:space="preserve"> </v>
      </c>
      <c r="AM36" s="209" t="str">
        <f t="shared" si="42"/>
        <v xml:space="preserve"> </v>
      </c>
      <c r="AN36" s="209"/>
      <c r="AO36" s="77"/>
      <c r="AP36" s="458">
        <f t="shared" si="11"/>
        <v>0</v>
      </c>
      <c r="AQ36" s="465"/>
      <c r="AR36" s="466"/>
      <c r="AS36" s="152"/>
      <c r="AT36" s="244" t="str">
        <f t="shared" si="12"/>
        <v xml:space="preserve"> </v>
      </c>
      <c r="AU36" s="245" t="str">
        <f t="shared" si="13"/>
        <v xml:space="preserve"> </v>
      </c>
      <c r="AV36" s="245" t="str">
        <f t="shared" si="14"/>
        <v xml:space="preserve"> </v>
      </c>
      <c r="AW36" s="245" t="str">
        <f t="shared" si="15"/>
        <v xml:space="preserve"> </v>
      </c>
      <c r="AX36" s="245" t="str">
        <f t="shared" si="16"/>
        <v xml:space="preserve"> </v>
      </c>
      <c r="AY36" s="245" t="str">
        <f t="shared" si="17"/>
        <v xml:space="preserve"> </v>
      </c>
      <c r="AZ36" s="246" t="str">
        <f t="shared" si="18"/>
        <v xml:space="preserve"> </v>
      </c>
      <c r="BA36" s="73">
        <f t="shared" si="19"/>
        <v>0</v>
      </c>
      <c r="BB36" s="73" t="str">
        <f t="shared" si="20"/>
        <v xml:space="preserve"> </v>
      </c>
      <c r="BC36" s="210" t="str">
        <f t="shared" si="43"/>
        <v xml:space="preserve"> </v>
      </c>
      <c r="BD36" s="210" t="str">
        <f t="shared" si="22"/>
        <v xml:space="preserve"> </v>
      </c>
      <c r="BE36" s="157" t="str">
        <f t="shared" si="23"/>
        <v xml:space="preserve"> </v>
      </c>
      <c r="BF36" s="157" t="str">
        <f t="shared" si="24"/>
        <v xml:space="preserve"> </v>
      </c>
      <c r="BG36" s="157" t="str">
        <f t="shared" si="25"/>
        <v xml:space="preserve"> </v>
      </c>
      <c r="BH36" s="157" t="str">
        <f t="shared" si="26"/>
        <v xml:space="preserve"> </v>
      </c>
      <c r="BI36" s="211" t="str">
        <f t="shared" si="27"/>
        <v xml:space="preserve"> </v>
      </c>
      <c r="BJ36" s="248"/>
      <c r="BK36" s="248"/>
    </row>
    <row r="37" spans="1:63" ht="12.75" customHeight="1" thickBot="1">
      <c r="A37" s="248"/>
      <c r="B37" s="248"/>
      <c r="C37" s="267" t="s">
        <v>99</v>
      </c>
      <c r="D37" s="399" t="s">
        <v>94</v>
      </c>
      <c r="E37" s="399"/>
      <c r="F37" s="254">
        <v>0.02</v>
      </c>
      <c r="G37" s="254">
        <v>0.8</v>
      </c>
      <c r="H37" s="255">
        <v>2.2000000000000002</v>
      </c>
      <c r="I37" s="255">
        <v>0.1</v>
      </c>
      <c r="J37" s="255">
        <v>6.5</v>
      </c>
      <c r="K37" s="255">
        <v>0.06</v>
      </c>
      <c r="L37" s="255">
        <v>0.86363636363636354</v>
      </c>
      <c r="M37" s="400">
        <v>250</v>
      </c>
      <c r="N37" s="401">
        <v>0.55000000000000004</v>
      </c>
      <c r="O37" s="294" t="str">
        <f t="shared" si="28"/>
        <v xml:space="preserve"> </v>
      </c>
      <c r="P37" s="314" t="str">
        <f t="shared" si="29"/>
        <v xml:space="preserve"> </v>
      </c>
      <c r="Q37" s="311" t="str">
        <f t="shared" si="30"/>
        <v xml:space="preserve"> </v>
      </c>
      <c r="R37" s="250"/>
      <c r="S37" s="458">
        <f t="shared" si="0"/>
        <v>0</v>
      </c>
      <c r="T37" s="465"/>
      <c r="U37" s="466"/>
      <c r="V37" s="152"/>
      <c r="W37" s="153" t="str">
        <f t="shared" si="31"/>
        <v xml:space="preserve"> </v>
      </c>
      <c r="X37" s="74" t="str">
        <f t="shared" si="32"/>
        <v xml:space="preserve"> </v>
      </c>
      <c r="Y37" s="74" t="str">
        <f t="shared" si="33"/>
        <v xml:space="preserve"> </v>
      </c>
      <c r="Z37" s="74" t="str">
        <f t="shared" si="34"/>
        <v xml:space="preserve"> </v>
      </c>
      <c r="AA37" s="74" t="str">
        <f t="shared" si="35"/>
        <v xml:space="preserve"> </v>
      </c>
      <c r="AB37" s="75" t="str">
        <f t="shared" si="36"/>
        <v xml:space="preserve"> </v>
      </c>
      <c r="AC37" s="76" t="str">
        <f t="shared" si="37"/>
        <v xml:space="preserve"> </v>
      </c>
      <c r="AD37" s="73">
        <f t="shared" si="1"/>
        <v>0</v>
      </c>
      <c r="AE37" s="73" t="str">
        <f t="shared" si="2"/>
        <v xml:space="preserve"> </v>
      </c>
      <c r="AF37" s="154">
        <f t="shared" si="3"/>
        <v>1.3279220779220777</v>
      </c>
      <c r="AG37" s="208" t="str">
        <f t="shared" si="4"/>
        <v xml:space="preserve"> </v>
      </c>
      <c r="AH37" s="208" t="str">
        <f t="shared" si="5"/>
        <v xml:space="preserve"> </v>
      </c>
      <c r="AI37" s="209" t="str">
        <f t="shared" si="38"/>
        <v xml:space="preserve"> </v>
      </c>
      <c r="AJ37" s="209" t="str">
        <f t="shared" si="39"/>
        <v xml:space="preserve"> </v>
      </c>
      <c r="AK37" s="209" t="str">
        <f t="shared" si="40"/>
        <v xml:space="preserve"> </v>
      </c>
      <c r="AL37" s="209" t="str">
        <f t="shared" si="41"/>
        <v xml:space="preserve"> </v>
      </c>
      <c r="AM37" s="209" t="str">
        <f t="shared" si="42"/>
        <v xml:space="preserve"> </v>
      </c>
      <c r="AN37" s="209"/>
      <c r="AO37" s="77"/>
      <c r="AP37" s="458">
        <f t="shared" si="11"/>
        <v>0</v>
      </c>
      <c r="AQ37" s="465"/>
      <c r="AR37" s="466"/>
      <c r="AS37" s="152"/>
      <c r="AT37" s="244" t="str">
        <f t="shared" si="12"/>
        <v xml:space="preserve"> </v>
      </c>
      <c r="AU37" s="245" t="str">
        <f t="shared" si="13"/>
        <v xml:space="preserve"> </v>
      </c>
      <c r="AV37" s="245" t="str">
        <f t="shared" si="14"/>
        <v xml:space="preserve"> </v>
      </c>
      <c r="AW37" s="245" t="str">
        <f t="shared" si="15"/>
        <v xml:space="preserve"> </v>
      </c>
      <c r="AX37" s="245" t="str">
        <f t="shared" si="16"/>
        <v xml:space="preserve"> </v>
      </c>
      <c r="AY37" s="545" t="str">
        <f t="shared" si="17"/>
        <v xml:space="preserve"> </v>
      </c>
      <c r="AZ37" s="246" t="str">
        <f t="shared" si="18"/>
        <v xml:space="preserve"> </v>
      </c>
      <c r="BA37" s="73">
        <f t="shared" si="19"/>
        <v>0</v>
      </c>
      <c r="BB37" s="73" t="str">
        <f t="shared" si="20"/>
        <v xml:space="preserve"> </v>
      </c>
      <c r="BC37" s="210" t="str">
        <f t="shared" si="43"/>
        <v xml:space="preserve"> </v>
      </c>
      <c r="BD37" s="210" t="str">
        <f t="shared" si="22"/>
        <v xml:space="preserve"> </v>
      </c>
      <c r="BE37" s="157" t="str">
        <f t="shared" si="23"/>
        <v xml:space="preserve"> </v>
      </c>
      <c r="BF37" s="157" t="str">
        <f t="shared" si="24"/>
        <v xml:space="preserve"> </v>
      </c>
      <c r="BG37" s="157" t="str">
        <f t="shared" si="25"/>
        <v xml:space="preserve"> </v>
      </c>
      <c r="BH37" s="157" t="str">
        <f t="shared" si="26"/>
        <v xml:space="preserve"> </v>
      </c>
      <c r="BI37" s="211" t="str">
        <f t="shared" si="27"/>
        <v xml:space="preserve"> </v>
      </c>
      <c r="BJ37" s="248"/>
      <c r="BK37" s="248"/>
    </row>
    <row r="38" spans="1:63" ht="12.75" customHeight="1" thickBot="1">
      <c r="A38" s="248"/>
      <c r="B38" s="248"/>
      <c r="C38" s="267" t="s">
        <v>99</v>
      </c>
      <c r="D38" s="399" t="s">
        <v>15</v>
      </c>
      <c r="E38" s="399"/>
      <c r="F38" s="254">
        <v>0.02</v>
      </c>
      <c r="G38" s="254">
        <v>0.8</v>
      </c>
      <c r="H38" s="255">
        <v>2.5</v>
      </c>
      <c r="I38" s="255">
        <v>0.4</v>
      </c>
      <c r="J38" s="255">
        <v>3</v>
      </c>
      <c r="K38" s="255">
        <v>0.08</v>
      </c>
      <c r="L38" s="255">
        <v>0.88</v>
      </c>
      <c r="M38" s="400">
        <v>250</v>
      </c>
      <c r="N38" s="401">
        <v>0.55000000000000004</v>
      </c>
      <c r="O38" s="294" t="str">
        <f t="shared" si="28"/>
        <v xml:space="preserve"> </v>
      </c>
      <c r="P38" s="314" t="str">
        <f t="shared" si="29"/>
        <v xml:space="preserve"> </v>
      </c>
      <c r="Q38" s="311" t="str">
        <f t="shared" si="30"/>
        <v xml:space="preserve"> </v>
      </c>
      <c r="R38" s="250"/>
      <c r="S38" s="458">
        <f t="shared" si="0"/>
        <v>0</v>
      </c>
      <c r="T38" s="465"/>
      <c r="U38" s="466"/>
      <c r="V38" s="152"/>
      <c r="W38" s="153" t="str">
        <f t="shared" si="31"/>
        <v xml:space="preserve"> </v>
      </c>
      <c r="X38" s="74" t="str">
        <f t="shared" si="32"/>
        <v xml:space="preserve"> </v>
      </c>
      <c r="Y38" s="74" t="str">
        <f t="shared" si="33"/>
        <v xml:space="preserve"> </v>
      </c>
      <c r="Z38" s="74" t="str">
        <f t="shared" si="34"/>
        <v xml:space="preserve"> </v>
      </c>
      <c r="AA38" s="74" t="str">
        <f t="shared" si="35"/>
        <v xml:space="preserve"> </v>
      </c>
      <c r="AB38" s="75" t="str">
        <f t="shared" si="36"/>
        <v xml:space="preserve"> </v>
      </c>
      <c r="AC38" s="76" t="str">
        <f t="shared" si="37"/>
        <v xml:space="preserve"> </v>
      </c>
      <c r="AD38" s="73">
        <f t="shared" si="1"/>
        <v>0</v>
      </c>
      <c r="AE38" s="73" t="str">
        <f t="shared" si="2"/>
        <v xml:space="preserve"> </v>
      </c>
      <c r="AF38" s="154">
        <f t="shared" si="3"/>
        <v>1.3442857142857143</v>
      </c>
      <c r="AG38" s="208" t="str">
        <f t="shared" si="4"/>
        <v xml:space="preserve"> </v>
      </c>
      <c r="AH38" s="208" t="str">
        <f t="shared" si="5"/>
        <v xml:space="preserve"> </v>
      </c>
      <c r="AI38" s="209" t="str">
        <f t="shared" si="38"/>
        <v xml:space="preserve"> </v>
      </c>
      <c r="AJ38" s="209" t="str">
        <f t="shared" si="39"/>
        <v xml:space="preserve"> </v>
      </c>
      <c r="AK38" s="209" t="str">
        <f t="shared" si="40"/>
        <v xml:space="preserve"> </v>
      </c>
      <c r="AL38" s="209" t="str">
        <f t="shared" si="41"/>
        <v xml:space="preserve"> </v>
      </c>
      <c r="AM38" s="209" t="str">
        <f t="shared" si="42"/>
        <v xml:space="preserve"> </v>
      </c>
      <c r="AN38" s="209"/>
      <c r="AO38" s="77"/>
      <c r="AP38" s="458">
        <f t="shared" si="11"/>
        <v>0</v>
      </c>
      <c r="AQ38" s="465"/>
      <c r="AR38" s="466"/>
      <c r="AS38" s="152"/>
      <c r="AT38" s="244" t="str">
        <f t="shared" si="12"/>
        <v xml:space="preserve"> </v>
      </c>
      <c r="AU38" s="245" t="str">
        <f t="shared" si="13"/>
        <v xml:space="preserve"> </v>
      </c>
      <c r="AV38" s="245" t="str">
        <f t="shared" si="14"/>
        <v xml:space="preserve"> </v>
      </c>
      <c r="AW38" s="245" t="str">
        <f t="shared" si="15"/>
        <v xml:space="preserve"> </v>
      </c>
      <c r="AX38" s="245" t="str">
        <f t="shared" si="16"/>
        <v xml:space="preserve"> </v>
      </c>
      <c r="AY38" s="545" t="str">
        <f t="shared" si="17"/>
        <v xml:space="preserve"> </v>
      </c>
      <c r="AZ38" s="246" t="str">
        <f t="shared" si="18"/>
        <v xml:space="preserve"> </v>
      </c>
      <c r="BA38" s="73">
        <f t="shared" si="19"/>
        <v>0</v>
      </c>
      <c r="BB38" s="73" t="str">
        <f t="shared" si="20"/>
        <v xml:space="preserve"> </v>
      </c>
      <c r="BC38" s="210" t="str">
        <f t="shared" si="43"/>
        <v xml:space="preserve"> </v>
      </c>
      <c r="BD38" s="210" t="str">
        <f t="shared" si="22"/>
        <v xml:space="preserve"> </v>
      </c>
      <c r="BE38" s="157" t="str">
        <f t="shared" si="23"/>
        <v xml:space="preserve"> </v>
      </c>
      <c r="BF38" s="157" t="str">
        <f t="shared" si="24"/>
        <v xml:space="preserve"> </v>
      </c>
      <c r="BG38" s="157" t="str">
        <f t="shared" si="25"/>
        <v xml:space="preserve"> </v>
      </c>
      <c r="BH38" s="157" t="str">
        <f t="shared" si="26"/>
        <v xml:space="preserve"> </v>
      </c>
      <c r="BI38" s="211" t="str">
        <f t="shared" si="27"/>
        <v xml:space="preserve"> </v>
      </c>
      <c r="BJ38" s="248"/>
      <c r="BK38" s="248"/>
    </row>
    <row r="39" spans="1:63" ht="12.75" customHeight="1" thickBot="1">
      <c r="A39" s="248"/>
      <c r="B39" s="248"/>
      <c r="C39" s="402" t="s">
        <v>120</v>
      </c>
      <c r="D39" s="403" t="s">
        <v>103</v>
      </c>
      <c r="E39" s="403"/>
      <c r="F39" s="268">
        <v>0.04</v>
      </c>
      <c r="G39" s="268">
        <v>0.8</v>
      </c>
      <c r="H39" s="269">
        <v>1.4</v>
      </c>
      <c r="I39" s="269">
        <v>0.3</v>
      </c>
      <c r="J39" s="269">
        <v>3.4</v>
      </c>
      <c r="K39" s="269">
        <v>0.3</v>
      </c>
      <c r="L39" s="269">
        <v>0.5</v>
      </c>
      <c r="M39" s="404">
        <v>250</v>
      </c>
      <c r="N39" s="405">
        <v>0.55000000000000004</v>
      </c>
      <c r="O39" s="295" t="str">
        <f t="shared" si="28"/>
        <v xml:space="preserve"> </v>
      </c>
      <c r="P39" s="315" t="str">
        <f t="shared" si="29"/>
        <v xml:space="preserve"> </v>
      </c>
      <c r="Q39" s="312" t="str">
        <f t="shared" si="30"/>
        <v xml:space="preserve"> </v>
      </c>
      <c r="R39" s="250"/>
      <c r="S39" s="458">
        <f t="shared" si="0"/>
        <v>0</v>
      </c>
      <c r="T39" s="467"/>
      <c r="U39" s="468"/>
      <c r="V39" s="152"/>
      <c r="W39" s="153" t="str">
        <f t="shared" si="31"/>
        <v xml:space="preserve"> </v>
      </c>
      <c r="X39" s="74" t="str">
        <f t="shared" si="32"/>
        <v xml:space="preserve"> </v>
      </c>
      <c r="Y39" s="74" t="str">
        <f t="shared" si="33"/>
        <v xml:space="preserve"> </v>
      </c>
      <c r="Z39" s="74" t="str">
        <f t="shared" si="34"/>
        <v xml:space="preserve"> </v>
      </c>
      <c r="AA39" s="74" t="str">
        <f t="shared" si="35"/>
        <v xml:space="preserve"> </v>
      </c>
      <c r="AB39" s="75" t="str">
        <f t="shared" si="36"/>
        <v xml:space="preserve"> </v>
      </c>
      <c r="AC39" s="76" t="str">
        <f t="shared" si="37"/>
        <v xml:space="preserve"> </v>
      </c>
      <c r="AD39" s="73">
        <f t="shared" si="1"/>
        <v>0</v>
      </c>
      <c r="AE39" s="73" t="str">
        <f t="shared" si="2"/>
        <v xml:space="preserve"> </v>
      </c>
      <c r="AF39" s="154">
        <f t="shared" si="3"/>
        <v>0.96428571428571419</v>
      </c>
      <c r="AG39" s="208" t="str">
        <f t="shared" si="4"/>
        <v xml:space="preserve"> </v>
      </c>
      <c r="AH39" s="208" t="str">
        <f t="shared" si="5"/>
        <v xml:space="preserve"> </v>
      </c>
      <c r="AI39" s="209" t="str">
        <f t="shared" si="38"/>
        <v xml:space="preserve"> </v>
      </c>
      <c r="AJ39" s="209" t="str">
        <f t="shared" si="39"/>
        <v xml:space="preserve"> </v>
      </c>
      <c r="AK39" s="209" t="str">
        <f t="shared" si="40"/>
        <v xml:space="preserve"> </v>
      </c>
      <c r="AL39" s="209" t="str">
        <f t="shared" si="41"/>
        <v xml:space="preserve"> </v>
      </c>
      <c r="AM39" s="209" t="str">
        <f t="shared" si="42"/>
        <v xml:space="preserve"> </v>
      </c>
      <c r="AN39" s="209"/>
      <c r="AO39" s="77"/>
      <c r="AP39" s="458">
        <f t="shared" si="11"/>
        <v>0</v>
      </c>
      <c r="AQ39" s="467"/>
      <c r="AR39" s="468"/>
      <c r="AS39" s="152"/>
      <c r="AT39" s="244" t="str">
        <f t="shared" si="12"/>
        <v xml:space="preserve"> </v>
      </c>
      <c r="AU39" s="245" t="str">
        <f t="shared" si="13"/>
        <v xml:space="preserve"> </v>
      </c>
      <c r="AV39" s="245" t="str">
        <f t="shared" si="14"/>
        <v xml:space="preserve"> </v>
      </c>
      <c r="AW39" s="245" t="str">
        <f t="shared" si="15"/>
        <v xml:space="preserve"> </v>
      </c>
      <c r="AX39" s="245" t="str">
        <f t="shared" si="16"/>
        <v xml:space="preserve"> </v>
      </c>
      <c r="AY39" s="545" t="str">
        <f t="shared" si="17"/>
        <v xml:space="preserve"> </v>
      </c>
      <c r="AZ39" s="246" t="str">
        <f t="shared" si="18"/>
        <v xml:space="preserve"> </v>
      </c>
      <c r="BA39" s="73">
        <f t="shared" si="19"/>
        <v>0</v>
      </c>
      <c r="BB39" s="73" t="str">
        <f t="shared" si="20"/>
        <v xml:space="preserve"> </v>
      </c>
      <c r="BC39" s="210" t="str">
        <f t="shared" si="43"/>
        <v xml:space="preserve"> </v>
      </c>
      <c r="BD39" s="210" t="str">
        <f t="shared" si="22"/>
        <v xml:space="preserve"> </v>
      </c>
      <c r="BE39" s="157" t="str">
        <f t="shared" si="23"/>
        <v xml:space="preserve"> </v>
      </c>
      <c r="BF39" s="157" t="str">
        <f t="shared" si="24"/>
        <v xml:space="preserve"> </v>
      </c>
      <c r="BG39" s="157" t="str">
        <f t="shared" si="25"/>
        <v xml:space="preserve"> </v>
      </c>
      <c r="BH39" s="157" t="str">
        <f t="shared" si="26"/>
        <v xml:space="preserve"> </v>
      </c>
      <c r="BI39" s="211" t="str">
        <f t="shared" si="27"/>
        <v xml:space="preserve"> </v>
      </c>
      <c r="BJ39" s="248"/>
      <c r="BK39" s="248"/>
    </row>
    <row r="40" spans="1:63" ht="15.75" customHeight="1" thickBot="1">
      <c r="A40" s="248"/>
      <c r="B40" s="248"/>
      <c r="C40" s="34" t="s">
        <v>319</v>
      </c>
      <c r="D40" s="35"/>
      <c r="E40" s="35"/>
      <c r="F40" s="7"/>
      <c r="G40" s="7"/>
      <c r="H40" s="7"/>
      <c r="I40" s="7"/>
      <c r="J40" s="7"/>
      <c r="K40" s="7"/>
      <c r="L40" s="7"/>
      <c r="M40" s="7"/>
      <c r="N40" s="7"/>
      <c r="O40" s="141"/>
      <c r="P40" s="142"/>
      <c r="Q40" s="271"/>
      <c r="R40" s="77"/>
      <c r="S40" s="151">
        <f t="shared" si="0"/>
        <v>0</v>
      </c>
      <c r="T40" s="461"/>
      <c r="U40" s="462"/>
      <c r="V40" s="156"/>
      <c r="W40" s="153" t="str">
        <f t="shared" si="31"/>
        <v xml:space="preserve"> </v>
      </c>
      <c r="X40" s="74" t="str">
        <f t="shared" si="32"/>
        <v xml:space="preserve"> </v>
      </c>
      <c r="Y40" s="74" t="str">
        <f t="shared" si="33"/>
        <v xml:space="preserve"> </v>
      </c>
      <c r="Z40" s="74" t="str">
        <f t="shared" si="34"/>
        <v xml:space="preserve"> </v>
      </c>
      <c r="AA40" s="74" t="str">
        <f t="shared" si="35"/>
        <v xml:space="preserve"> </v>
      </c>
      <c r="AB40" s="75" t="str">
        <f t="shared" si="36"/>
        <v xml:space="preserve"> </v>
      </c>
      <c r="AC40" s="76" t="str">
        <f t="shared" si="37"/>
        <v xml:space="preserve"> </v>
      </c>
      <c r="AD40" s="73">
        <f t="shared" si="1"/>
        <v>0</v>
      </c>
      <c r="AE40" s="73" t="str">
        <f t="shared" si="2"/>
        <v xml:space="preserve"> </v>
      </c>
      <c r="AF40" s="154" t="e">
        <f t="shared" si="3"/>
        <v>#DIV/0!</v>
      </c>
      <c r="AG40" s="208" t="str">
        <f t="shared" si="4"/>
        <v xml:space="preserve"> </v>
      </c>
      <c r="AH40" s="208" t="str">
        <f t="shared" si="5"/>
        <v xml:space="preserve"> </v>
      </c>
      <c r="AI40" s="209" t="str">
        <f t="shared" si="38"/>
        <v xml:space="preserve"> </v>
      </c>
      <c r="AJ40" s="209" t="str">
        <f t="shared" si="39"/>
        <v xml:space="preserve"> </v>
      </c>
      <c r="AK40" s="209" t="str">
        <f t="shared" si="40"/>
        <v xml:space="preserve"> </v>
      </c>
      <c r="AL40" s="209" t="str">
        <f t="shared" si="41"/>
        <v xml:space="preserve"> </v>
      </c>
      <c r="AM40" s="209" t="str">
        <f t="shared" si="42"/>
        <v xml:space="preserve"> </v>
      </c>
      <c r="AN40" s="209"/>
      <c r="AO40" s="77"/>
      <c r="AP40" s="151">
        <f t="shared" si="11"/>
        <v>0</v>
      </c>
      <c r="AQ40" s="82"/>
      <c r="AR40" s="82"/>
      <c r="AS40" s="149"/>
      <c r="AT40" s="149"/>
      <c r="AU40" s="149"/>
      <c r="AV40" s="149"/>
      <c r="AW40" s="149"/>
      <c r="AX40" s="149"/>
      <c r="AY40" s="546"/>
      <c r="AZ40" s="150"/>
      <c r="BA40" s="149"/>
      <c r="BB40" s="149"/>
      <c r="BC40" s="149"/>
      <c r="BD40" s="149"/>
      <c r="BE40" s="149"/>
      <c r="BF40" s="149"/>
      <c r="BG40" s="149"/>
      <c r="BH40" s="149"/>
      <c r="BI40" s="149"/>
      <c r="BJ40" s="248"/>
      <c r="BK40" s="248"/>
    </row>
    <row r="41" spans="1:63" ht="15.75" hidden="1" customHeight="1" outlineLevel="1" thickBot="1">
      <c r="A41" s="248"/>
      <c r="B41" s="248"/>
      <c r="C41" s="259" t="s">
        <v>50</v>
      </c>
      <c r="D41" s="260" t="s">
        <v>16</v>
      </c>
      <c r="E41" s="260"/>
      <c r="F41" s="279">
        <v>0.32</v>
      </c>
      <c r="G41" s="279">
        <v>0.95</v>
      </c>
      <c r="H41" s="280">
        <v>4.0999999999999996</v>
      </c>
      <c r="I41" s="280">
        <v>0.72</v>
      </c>
      <c r="J41" s="280">
        <v>4.2</v>
      </c>
      <c r="K41" s="280"/>
      <c r="L41" s="280">
        <v>0</v>
      </c>
      <c r="M41" s="265">
        <v>320</v>
      </c>
      <c r="N41" s="290">
        <v>0.52</v>
      </c>
      <c r="O41" s="293">
        <f>IF(S41&gt;0,S41," ")</f>
        <v>2.7397260273972606E-8</v>
      </c>
      <c r="P41" s="313">
        <f>IF(U41&gt;0,U41," ")</f>
        <v>9.9999999999999995E-8</v>
      </c>
      <c r="Q41" s="323" t="str">
        <f>IF(V41&gt;0,V41," ")</f>
        <v xml:space="preserve"> </v>
      </c>
      <c r="R41" s="250"/>
      <c r="S41" s="151">
        <f t="shared" si="0"/>
        <v>2.7397260273972606E-8</v>
      </c>
      <c r="T41" s="296">
        <v>1.0000000000000001E-5</v>
      </c>
      <c r="U41" s="297">
        <v>9.9999999999999995E-8</v>
      </c>
      <c r="V41" s="152"/>
      <c r="W41" s="153">
        <f t="shared" si="31"/>
        <v>0.95</v>
      </c>
      <c r="X41" s="74">
        <f t="shared" si="32"/>
        <v>1.2812499999999998E-6</v>
      </c>
      <c r="Y41" s="74">
        <f t="shared" si="33"/>
        <v>2.2499999999999999E-7</v>
      </c>
      <c r="Z41" s="74">
        <f t="shared" si="34"/>
        <v>1.3124999999999999E-6</v>
      </c>
      <c r="AA41" s="74">
        <f t="shared" si="35"/>
        <v>0</v>
      </c>
      <c r="AB41" s="75">
        <f t="shared" si="36"/>
        <v>320</v>
      </c>
      <c r="AC41" s="76">
        <f t="shared" si="37"/>
        <v>0.52</v>
      </c>
      <c r="AD41" s="73">
        <f t="shared" si="1"/>
        <v>2.7397260273972603E-15</v>
      </c>
      <c r="AE41" s="73">
        <f t="shared" si="2"/>
        <v>2.6027397260273973E-15</v>
      </c>
      <c r="AF41" s="154">
        <f t="shared" si="3"/>
        <v>0.76835164835164826</v>
      </c>
      <c r="AG41" s="208">
        <f t="shared" si="4"/>
        <v>8.3287671232876715E-13</v>
      </c>
      <c r="AH41" s="208">
        <f t="shared" si="5"/>
        <v>1.6016859852476291E-12</v>
      </c>
      <c r="AI41" s="209">
        <f t="shared" si="38"/>
        <v>3.5102739726027398E-14</v>
      </c>
      <c r="AJ41" s="209">
        <f t="shared" si="39"/>
        <v>6.1643835616438358E-15</v>
      </c>
      <c r="AK41" s="209">
        <f t="shared" si="40"/>
        <v>3.5958904109589044E-14</v>
      </c>
      <c r="AL41" s="209">
        <f t="shared" si="41"/>
        <v>0</v>
      </c>
      <c r="AM41" s="209">
        <f t="shared" si="42"/>
        <v>0</v>
      </c>
      <c r="AN41" s="209"/>
      <c r="AO41" s="77"/>
      <c r="AP41" s="151">
        <f t="shared" si="11"/>
        <v>2.7397260273972606E-8</v>
      </c>
      <c r="AQ41" s="296">
        <v>1.0000000000000001E-5</v>
      </c>
      <c r="AR41" s="297">
        <v>9.9999999999999995E-8</v>
      </c>
      <c r="AS41" s="152"/>
      <c r="AT41" s="244">
        <f>IF(AP41&gt;0,G41," ")</f>
        <v>0.95</v>
      </c>
      <c r="AU41" s="245">
        <f>IF(AP41&gt;0,H41*$AR41/$F41," ")</f>
        <v>1.2812499999999998E-6</v>
      </c>
      <c r="AV41" s="245">
        <f>IF(AP41&gt;0,I41*$AR41/$F41," ")</f>
        <v>2.2499999999999999E-7</v>
      </c>
      <c r="AW41" s="245">
        <f>IF(AP41&gt;0,J41*$AR41/$F41," ")</f>
        <v>1.3124999999999999E-6</v>
      </c>
      <c r="AX41" s="245">
        <f>IF(AP41&gt;0,K41*$AR41/$F41," ")</f>
        <v>0</v>
      </c>
      <c r="AY41" s="545">
        <f>IF(AP41&gt;0,M41," ")</f>
        <v>320</v>
      </c>
      <c r="AZ41" s="246">
        <f>IF(AP41&gt;0,N41," ")</f>
        <v>0.52</v>
      </c>
      <c r="BA41" s="73">
        <f>+AP41*AR41</f>
        <v>2.7397260273972603E-15</v>
      </c>
      <c r="BB41" s="73">
        <f>IF(AP41&gt;0,AP41*AR41*AT41," ")</f>
        <v>2.6027397260273973E-15</v>
      </c>
      <c r="BC41" s="210">
        <f t="shared" si="43"/>
        <v>8.3287671232876715E-13</v>
      </c>
      <c r="BD41" s="210">
        <f t="shared" si="22"/>
        <v>1.6016859852476291E-12</v>
      </c>
      <c r="BE41" s="157">
        <f t="shared" si="23"/>
        <v>3.5102739726027398E-14</v>
      </c>
      <c r="BF41" s="157">
        <f t="shared" si="24"/>
        <v>6.1643835616438358E-15</v>
      </c>
      <c r="BG41" s="157">
        <f t="shared" si="25"/>
        <v>3.5958904109589044E-14</v>
      </c>
      <c r="BH41" s="157">
        <f t="shared" si="26"/>
        <v>0</v>
      </c>
      <c r="BI41" s="211">
        <f t="shared" si="27"/>
        <v>0</v>
      </c>
      <c r="BJ41" s="248"/>
      <c r="BK41" s="248"/>
    </row>
    <row r="42" spans="1:63" ht="15.75" hidden="1" customHeight="1" outlineLevel="1" thickBot="1">
      <c r="A42" s="248"/>
      <c r="B42" s="248"/>
      <c r="C42" s="307"/>
      <c r="D42" s="272"/>
      <c r="E42" s="272"/>
      <c r="F42" s="273"/>
      <c r="G42" s="273"/>
      <c r="H42" s="274"/>
      <c r="I42" s="274"/>
      <c r="J42" s="274"/>
      <c r="K42" s="274"/>
      <c r="L42" s="274"/>
      <c r="M42" s="275"/>
      <c r="N42" s="308"/>
      <c r="O42" s="306"/>
      <c r="P42" s="326"/>
      <c r="Q42" s="324"/>
      <c r="R42" s="250"/>
      <c r="S42" s="151"/>
      <c r="T42" s="304"/>
      <c r="U42" s="309"/>
      <c r="V42" s="152"/>
      <c r="W42" s="153"/>
      <c r="X42" s="74"/>
      <c r="Y42" s="74"/>
      <c r="Z42" s="74"/>
      <c r="AA42" s="74"/>
      <c r="AB42" s="75"/>
      <c r="AC42" s="76"/>
      <c r="AD42" s="73"/>
      <c r="AE42" s="73"/>
      <c r="AF42" s="154"/>
      <c r="AG42" s="208"/>
      <c r="AH42" s="208"/>
      <c r="AI42" s="209"/>
      <c r="AJ42" s="209"/>
      <c r="AK42" s="209"/>
      <c r="AL42" s="209"/>
      <c r="AM42" s="209"/>
      <c r="AN42" s="209"/>
      <c r="AO42" s="77"/>
      <c r="AP42" s="151"/>
      <c r="AQ42" s="304"/>
      <c r="AR42" s="309"/>
      <c r="AS42" s="152"/>
      <c r="AT42" s="244"/>
      <c r="AU42" s="245" t="str">
        <f t="shared" ref="AU42:AU64" si="44">IF(AP42&gt;0,H42*$AR42/$F42," ")</f>
        <v xml:space="preserve"> </v>
      </c>
      <c r="AV42" s="245"/>
      <c r="AW42" s="245"/>
      <c r="AX42" s="245"/>
      <c r="AY42" s="545"/>
      <c r="AZ42" s="246"/>
      <c r="BA42" s="73"/>
      <c r="BB42" s="73"/>
      <c r="BC42" s="210" t="str">
        <f t="shared" si="43"/>
        <v xml:space="preserve"> </v>
      </c>
      <c r="BD42" s="210"/>
      <c r="BE42" s="157"/>
      <c r="BF42" s="157"/>
      <c r="BG42" s="157"/>
      <c r="BH42" s="157"/>
      <c r="BI42" s="211"/>
      <c r="BJ42" s="248"/>
      <c r="BK42" s="248"/>
    </row>
    <row r="43" spans="1:63" ht="12.75" hidden="1" customHeight="1" outlineLevel="1" thickBot="1">
      <c r="A43" s="248"/>
      <c r="B43" s="248"/>
      <c r="C43" s="266" t="s">
        <v>274</v>
      </c>
      <c r="D43" s="253" t="s">
        <v>202</v>
      </c>
      <c r="E43" s="253"/>
      <c r="F43" s="276">
        <v>0.2</v>
      </c>
      <c r="G43" s="276">
        <v>0.9</v>
      </c>
      <c r="H43" s="277">
        <v>4.5</v>
      </c>
      <c r="I43" s="277">
        <v>0.6</v>
      </c>
      <c r="J43" s="277">
        <v>3.9</v>
      </c>
      <c r="K43" s="277">
        <v>0.3</v>
      </c>
      <c r="L43" s="277">
        <v>0</v>
      </c>
      <c r="M43" s="257"/>
      <c r="N43" s="291"/>
      <c r="O43" s="294" t="str">
        <f t="shared" ref="O43:O85" si="45">IF(S43&gt;0,S43," ")</f>
        <v xml:space="preserve"> </v>
      </c>
      <c r="P43" s="314" t="str">
        <f t="shared" ref="P43:P85" si="46">IF(U43&gt;0,U43," ")</f>
        <v xml:space="preserve"> </v>
      </c>
      <c r="Q43" s="311" t="str">
        <f t="shared" ref="Q43:Q85" si="47">IF(V43&gt;0,V43," ")</f>
        <v xml:space="preserve"> </v>
      </c>
      <c r="R43" s="250"/>
      <c r="S43" s="151">
        <f t="shared" si="0"/>
        <v>0</v>
      </c>
      <c r="T43" s="298"/>
      <c r="U43" s="299"/>
      <c r="V43" s="152"/>
      <c r="W43" s="153" t="str">
        <f t="shared" si="31"/>
        <v xml:space="preserve"> </v>
      </c>
      <c r="X43" s="74" t="str">
        <f t="shared" si="32"/>
        <v xml:space="preserve"> </v>
      </c>
      <c r="Y43" s="74" t="str">
        <f t="shared" si="33"/>
        <v xml:space="preserve"> </v>
      </c>
      <c r="Z43" s="74" t="str">
        <f t="shared" si="34"/>
        <v xml:space="preserve"> </v>
      </c>
      <c r="AA43" s="74" t="str">
        <f t="shared" si="35"/>
        <v xml:space="preserve"> </v>
      </c>
      <c r="AB43" s="75" t="str">
        <f t="shared" si="36"/>
        <v xml:space="preserve"> </v>
      </c>
      <c r="AC43" s="76" t="str">
        <f t="shared" si="37"/>
        <v xml:space="preserve"> </v>
      </c>
      <c r="AD43" s="73">
        <f t="shared" ref="AD43:AD79" si="48">+S43*U43</f>
        <v>0</v>
      </c>
      <c r="AE43" s="73" t="str">
        <f t="shared" ref="AE43:AE79" si="49">IF(S43&gt;0,S43*U43*G43," ")</f>
        <v xml:space="preserve"> </v>
      </c>
      <c r="AF43" s="154" t="e">
        <f t="shared" ref="AF43:AF82" si="50">(M43/N43*G43/1000*((N43*16+(1-N43)*44)/22.4))+L43</f>
        <v>#DIV/0!</v>
      </c>
      <c r="AG43" s="208" t="str">
        <f t="shared" ref="AG43:AG82" si="51">IF(S43&gt;0,S43*U43*W43*AB43," ")</f>
        <v xml:space="preserve"> </v>
      </c>
      <c r="AH43" s="208" t="str">
        <f t="shared" ref="AH43:AH82" si="52">IF(S43&gt;0,AG43/AC43," ")</f>
        <v xml:space="preserve"> </v>
      </c>
      <c r="AI43" s="209" t="str">
        <f t="shared" si="38"/>
        <v xml:space="preserve"> </v>
      </c>
      <c r="AJ43" s="209" t="str">
        <f t="shared" si="39"/>
        <v xml:space="preserve"> </v>
      </c>
      <c r="AK43" s="209" t="str">
        <f t="shared" si="40"/>
        <v xml:space="preserve"> </v>
      </c>
      <c r="AL43" s="209" t="str">
        <f t="shared" si="41"/>
        <v xml:space="preserve"> </v>
      </c>
      <c r="AM43" s="209" t="str">
        <f t="shared" si="42"/>
        <v xml:space="preserve"> </v>
      </c>
      <c r="AN43" s="209"/>
      <c r="AO43" s="77"/>
      <c r="AP43" s="151">
        <f t="shared" si="11"/>
        <v>0</v>
      </c>
      <c r="AQ43" s="298"/>
      <c r="AR43" s="302"/>
      <c r="AS43" s="152"/>
      <c r="AT43" s="244" t="str">
        <f t="shared" ref="AT43:AT58" si="53">IF(AP43&gt;0,G43," ")</f>
        <v xml:space="preserve"> </v>
      </c>
      <c r="AU43" s="245" t="str">
        <f t="shared" si="44"/>
        <v xml:space="preserve"> </v>
      </c>
      <c r="AV43" s="245" t="str">
        <f t="shared" ref="AV43:AV58" si="54">IF(AP43&gt;0,I43*$AR43/$F43," ")</f>
        <v xml:space="preserve"> </v>
      </c>
      <c r="AW43" s="245" t="str">
        <f t="shared" ref="AW43:AW58" si="55">IF(AP43&gt;0,J43*$AR43/$F43," ")</f>
        <v xml:space="preserve"> </v>
      </c>
      <c r="AX43" s="245" t="str">
        <f t="shared" ref="AX43:AX58" si="56">IF(AP43&gt;0,K43*$AR43/$F43," ")</f>
        <v xml:space="preserve"> </v>
      </c>
      <c r="AY43" s="545" t="str">
        <f t="shared" ref="AY43:AY58" si="57">IF(AP43&gt;0,M43," ")</f>
        <v xml:space="preserve"> </v>
      </c>
      <c r="AZ43" s="246" t="str">
        <f t="shared" ref="AZ43:AZ58" si="58">IF(AP43&gt;0,N43," ")</f>
        <v xml:space="preserve"> </v>
      </c>
      <c r="BA43" s="73">
        <f t="shared" ref="BA43:BA68" si="59">+AP43*AR43</f>
        <v>0</v>
      </c>
      <c r="BB43" s="73" t="str">
        <f t="shared" ref="BB43:BB68" si="60">IF(AP43&gt;0,AP43*AR43*AT43," ")</f>
        <v xml:space="preserve"> </v>
      </c>
      <c r="BC43" s="210" t="str">
        <f t="shared" si="43"/>
        <v xml:space="preserve"> </v>
      </c>
      <c r="BD43" s="210" t="str">
        <f t="shared" ref="BD43:BD79" si="61">IF(AP43&gt;0,BC43/AZ43," ")</f>
        <v xml:space="preserve"> </v>
      </c>
      <c r="BE43" s="157" t="str">
        <f t="shared" si="23"/>
        <v xml:space="preserve"> </v>
      </c>
      <c r="BF43" s="157" t="str">
        <f t="shared" si="24"/>
        <v xml:space="preserve"> </v>
      </c>
      <c r="BG43" s="157" t="str">
        <f t="shared" si="25"/>
        <v xml:space="preserve"> </v>
      </c>
      <c r="BH43" s="157" t="str">
        <f t="shared" si="26"/>
        <v xml:space="preserve"> </v>
      </c>
      <c r="BI43" s="211" t="str">
        <f t="shared" si="27"/>
        <v xml:space="preserve"> </v>
      </c>
      <c r="BJ43" s="248"/>
      <c r="BK43" s="248"/>
    </row>
    <row r="44" spans="1:63" ht="12.75" hidden="1" customHeight="1" outlineLevel="1" thickBot="1">
      <c r="A44" s="248"/>
      <c r="B44" s="248"/>
      <c r="C44" s="266" t="s">
        <v>279</v>
      </c>
      <c r="D44" s="253"/>
      <c r="E44" s="253"/>
      <c r="F44" s="276">
        <v>0.2</v>
      </c>
      <c r="G44" s="276">
        <v>0.9</v>
      </c>
      <c r="H44" s="277">
        <v>5.2</v>
      </c>
      <c r="I44" s="277">
        <v>0.6</v>
      </c>
      <c r="J44" s="277">
        <v>5.0999999999999996</v>
      </c>
      <c r="K44" s="277">
        <v>0.6</v>
      </c>
      <c r="L44" s="277">
        <v>0</v>
      </c>
      <c r="M44" s="257"/>
      <c r="N44" s="291"/>
      <c r="O44" s="294" t="str">
        <f t="shared" si="45"/>
        <v xml:space="preserve"> </v>
      </c>
      <c r="P44" s="314" t="str">
        <f t="shared" si="46"/>
        <v xml:space="preserve"> </v>
      </c>
      <c r="Q44" s="311" t="str">
        <f t="shared" si="47"/>
        <v xml:space="preserve"> </v>
      </c>
      <c r="R44" s="250"/>
      <c r="S44" s="151">
        <f t="shared" si="0"/>
        <v>0</v>
      </c>
      <c r="T44" s="298"/>
      <c r="U44" s="299"/>
      <c r="V44" s="152"/>
      <c r="W44" s="153" t="str">
        <f t="shared" si="31"/>
        <v xml:space="preserve"> </v>
      </c>
      <c r="X44" s="74" t="str">
        <f t="shared" si="32"/>
        <v xml:space="preserve"> </v>
      </c>
      <c r="Y44" s="74" t="str">
        <f t="shared" si="33"/>
        <v xml:space="preserve"> </v>
      </c>
      <c r="Z44" s="74" t="str">
        <f t="shared" si="34"/>
        <v xml:space="preserve"> </v>
      </c>
      <c r="AA44" s="74" t="str">
        <f t="shared" si="35"/>
        <v xml:space="preserve"> </v>
      </c>
      <c r="AB44" s="75" t="str">
        <f t="shared" si="36"/>
        <v xml:space="preserve"> </v>
      </c>
      <c r="AC44" s="76" t="str">
        <f t="shared" si="37"/>
        <v xml:space="preserve"> </v>
      </c>
      <c r="AD44" s="73">
        <f t="shared" si="48"/>
        <v>0</v>
      </c>
      <c r="AE44" s="73" t="str">
        <f t="shared" si="49"/>
        <v xml:space="preserve"> </v>
      </c>
      <c r="AF44" s="154" t="e">
        <f t="shared" si="50"/>
        <v>#DIV/0!</v>
      </c>
      <c r="AG44" s="208" t="str">
        <f t="shared" si="51"/>
        <v xml:space="preserve"> </v>
      </c>
      <c r="AH44" s="208" t="str">
        <f t="shared" si="52"/>
        <v xml:space="preserve"> </v>
      </c>
      <c r="AI44" s="209" t="str">
        <f t="shared" si="38"/>
        <v xml:space="preserve"> </v>
      </c>
      <c r="AJ44" s="209" t="str">
        <f t="shared" si="39"/>
        <v xml:space="preserve"> </v>
      </c>
      <c r="AK44" s="209" t="str">
        <f t="shared" si="40"/>
        <v xml:space="preserve"> </v>
      </c>
      <c r="AL44" s="209" t="str">
        <f t="shared" si="41"/>
        <v xml:space="preserve"> </v>
      </c>
      <c r="AM44" s="209" t="str">
        <f t="shared" si="42"/>
        <v xml:space="preserve"> </v>
      </c>
      <c r="AN44" s="209"/>
      <c r="AO44" s="77"/>
      <c r="AP44" s="151">
        <f t="shared" si="11"/>
        <v>0</v>
      </c>
      <c r="AQ44" s="298"/>
      <c r="AR44" s="302"/>
      <c r="AS44" s="152"/>
      <c r="AT44" s="244" t="str">
        <f t="shared" si="53"/>
        <v xml:space="preserve"> </v>
      </c>
      <c r="AU44" s="245" t="str">
        <f t="shared" si="44"/>
        <v xml:space="preserve"> </v>
      </c>
      <c r="AV44" s="245" t="str">
        <f t="shared" si="54"/>
        <v xml:space="preserve"> </v>
      </c>
      <c r="AW44" s="245" t="str">
        <f t="shared" si="55"/>
        <v xml:space="preserve"> </v>
      </c>
      <c r="AX44" s="245" t="str">
        <f t="shared" si="56"/>
        <v xml:space="preserve"> </v>
      </c>
      <c r="AY44" s="545" t="str">
        <f t="shared" si="57"/>
        <v xml:space="preserve"> </v>
      </c>
      <c r="AZ44" s="246" t="str">
        <f t="shared" si="58"/>
        <v xml:space="preserve"> </v>
      </c>
      <c r="BA44" s="73">
        <f t="shared" si="59"/>
        <v>0</v>
      </c>
      <c r="BB44" s="73" t="str">
        <f t="shared" si="60"/>
        <v xml:space="preserve"> </v>
      </c>
      <c r="BC44" s="210" t="str">
        <f t="shared" si="43"/>
        <v xml:space="preserve"> </v>
      </c>
      <c r="BD44" s="210" t="str">
        <f t="shared" si="61"/>
        <v xml:space="preserve"> </v>
      </c>
      <c r="BE44" s="157" t="str">
        <f t="shared" si="23"/>
        <v xml:space="preserve"> </v>
      </c>
      <c r="BF44" s="157" t="str">
        <f t="shared" si="24"/>
        <v xml:space="preserve"> </v>
      </c>
      <c r="BG44" s="157" t="str">
        <f t="shared" si="25"/>
        <v xml:space="preserve"> </v>
      </c>
      <c r="BH44" s="157" t="str">
        <f t="shared" si="26"/>
        <v xml:space="preserve"> </v>
      </c>
      <c r="BI44" s="211" t="str">
        <f t="shared" si="27"/>
        <v xml:space="preserve"> </v>
      </c>
      <c r="BJ44" s="248"/>
      <c r="BK44" s="248"/>
    </row>
    <row r="45" spans="1:63" ht="12.75" hidden="1" customHeight="1" outlineLevel="1" thickBot="1">
      <c r="A45" s="248"/>
      <c r="B45" s="248"/>
      <c r="C45" s="266" t="s">
        <v>282</v>
      </c>
      <c r="D45" s="253"/>
      <c r="E45" s="253"/>
      <c r="F45" s="276">
        <v>0.2</v>
      </c>
      <c r="G45" s="276">
        <v>0.9</v>
      </c>
      <c r="H45" s="277">
        <v>5.4</v>
      </c>
      <c r="I45" s="277">
        <v>0.7</v>
      </c>
      <c r="J45" s="277">
        <v>5.4</v>
      </c>
      <c r="K45" s="277">
        <v>0.5</v>
      </c>
      <c r="L45" s="277">
        <v>0</v>
      </c>
      <c r="M45" s="257"/>
      <c r="N45" s="291"/>
      <c r="O45" s="294" t="str">
        <f t="shared" si="45"/>
        <v xml:space="preserve"> </v>
      </c>
      <c r="P45" s="314" t="str">
        <f t="shared" si="46"/>
        <v xml:space="preserve"> </v>
      </c>
      <c r="Q45" s="311" t="str">
        <f t="shared" si="47"/>
        <v xml:space="preserve"> </v>
      </c>
      <c r="R45" s="250"/>
      <c r="S45" s="151">
        <f t="shared" si="0"/>
        <v>0</v>
      </c>
      <c r="T45" s="298"/>
      <c r="U45" s="299"/>
      <c r="V45" s="152"/>
      <c r="W45" s="153" t="str">
        <f t="shared" si="31"/>
        <v xml:space="preserve"> </v>
      </c>
      <c r="X45" s="74" t="str">
        <f t="shared" si="32"/>
        <v xml:space="preserve"> </v>
      </c>
      <c r="Y45" s="74" t="str">
        <f t="shared" si="33"/>
        <v xml:space="preserve"> </v>
      </c>
      <c r="Z45" s="74" t="str">
        <f t="shared" si="34"/>
        <v xml:space="preserve"> </v>
      </c>
      <c r="AA45" s="74" t="str">
        <f t="shared" si="35"/>
        <v xml:space="preserve"> </v>
      </c>
      <c r="AB45" s="75" t="str">
        <f t="shared" si="36"/>
        <v xml:space="preserve"> </v>
      </c>
      <c r="AC45" s="76" t="str">
        <f t="shared" si="37"/>
        <v xml:space="preserve"> </v>
      </c>
      <c r="AD45" s="73">
        <f t="shared" si="48"/>
        <v>0</v>
      </c>
      <c r="AE45" s="73" t="str">
        <f t="shared" si="49"/>
        <v xml:space="preserve"> </v>
      </c>
      <c r="AF45" s="154" t="e">
        <f t="shared" si="50"/>
        <v>#DIV/0!</v>
      </c>
      <c r="AG45" s="208" t="str">
        <f t="shared" si="51"/>
        <v xml:space="preserve"> </v>
      </c>
      <c r="AH45" s="208" t="str">
        <f t="shared" si="52"/>
        <v xml:space="preserve"> </v>
      </c>
      <c r="AI45" s="209" t="str">
        <f t="shared" si="38"/>
        <v xml:space="preserve"> </v>
      </c>
      <c r="AJ45" s="209" t="str">
        <f t="shared" si="39"/>
        <v xml:space="preserve"> </v>
      </c>
      <c r="AK45" s="209" t="str">
        <f t="shared" si="40"/>
        <v xml:space="preserve"> </v>
      </c>
      <c r="AL45" s="209" t="str">
        <f t="shared" si="41"/>
        <v xml:space="preserve"> </v>
      </c>
      <c r="AM45" s="209" t="str">
        <f t="shared" si="42"/>
        <v xml:space="preserve"> </v>
      </c>
      <c r="AN45" s="209"/>
      <c r="AO45" s="77"/>
      <c r="AP45" s="151">
        <f t="shared" si="11"/>
        <v>0</v>
      </c>
      <c r="AQ45" s="298"/>
      <c r="AR45" s="302"/>
      <c r="AS45" s="152"/>
      <c r="AT45" s="244" t="str">
        <f t="shared" si="53"/>
        <v xml:space="preserve"> </v>
      </c>
      <c r="AU45" s="245" t="str">
        <f t="shared" si="44"/>
        <v xml:space="preserve"> </v>
      </c>
      <c r="AV45" s="245" t="str">
        <f t="shared" si="54"/>
        <v xml:space="preserve"> </v>
      </c>
      <c r="AW45" s="245" t="str">
        <f t="shared" si="55"/>
        <v xml:space="preserve"> </v>
      </c>
      <c r="AX45" s="245" t="str">
        <f t="shared" si="56"/>
        <v xml:space="preserve"> </v>
      </c>
      <c r="AY45" s="545" t="str">
        <f t="shared" si="57"/>
        <v xml:space="preserve"> </v>
      </c>
      <c r="AZ45" s="246" t="str">
        <f t="shared" si="58"/>
        <v xml:space="preserve"> </v>
      </c>
      <c r="BA45" s="73">
        <f t="shared" si="59"/>
        <v>0</v>
      </c>
      <c r="BB45" s="73" t="str">
        <f t="shared" si="60"/>
        <v xml:space="preserve"> </v>
      </c>
      <c r="BC45" s="210" t="str">
        <f t="shared" si="43"/>
        <v xml:space="preserve"> </v>
      </c>
      <c r="BD45" s="210" t="str">
        <f t="shared" si="61"/>
        <v xml:space="preserve"> </v>
      </c>
      <c r="BE45" s="157" t="str">
        <f t="shared" si="23"/>
        <v xml:space="preserve"> </v>
      </c>
      <c r="BF45" s="157" t="str">
        <f t="shared" si="24"/>
        <v xml:space="preserve"> </v>
      </c>
      <c r="BG45" s="157" t="str">
        <f t="shared" si="25"/>
        <v xml:space="preserve"> </v>
      </c>
      <c r="BH45" s="157" t="str">
        <f t="shared" si="26"/>
        <v xml:space="preserve"> </v>
      </c>
      <c r="BI45" s="211" t="str">
        <f t="shared" si="27"/>
        <v xml:space="preserve"> </v>
      </c>
      <c r="BJ45" s="248"/>
      <c r="BK45" s="248"/>
    </row>
    <row r="46" spans="1:63" ht="12.75" hidden="1" customHeight="1" outlineLevel="1" thickBot="1">
      <c r="A46" s="248"/>
      <c r="B46" s="248"/>
      <c r="C46" s="266" t="s">
        <v>284</v>
      </c>
      <c r="D46" s="253" t="s">
        <v>202</v>
      </c>
      <c r="E46" s="253"/>
      <c r="F46" s="276">
        <v>0.2</v>
      </c>
      <c r="G46" s="276">
        <v>0.9</v>
      </c>
      <c r="H46" s="277">
        <v>4</v>
      </c>
      <c r="I46" s="277">
        <v>0.7</v>
      </c>
      <c r="J46" s="277">
        <v>4.8</v>
      </c>
      <c r="K46" s="277">
        <v>0.3</v>
      </c>
      <c r="L46" s="277">
        <v>0</v>
      </c>
      <c r="M46" s="257"/>
      <c r="N46" s="291"/>
      <c r="O46" s="294" t="str">
        <f t="shared" si="45"/>
        <v xml:space="preserve"> </v>
      </c>
      <c r="P46" s="314" t="str">
        <f t="shared" si="46"/>
        <v xml:space="preserve"> </v>
      </c>
      <c r="Q46" s="311" t="str">
        <f t="shared" si="47"/>
        <v xml:space="preserve"> </v>
      </c>
      <c r="R46" s="250"/>
      <c r="S46" s="151">
        <f t="shared" si="0"/>
        <v>0</v>
      </c>
      <c r="T46" s="298"/>
      <c r="U46" s="299"/>
      <c r="V46" s="152"/>
      <c r="W46" s="153" t="str">
        <f t="shared" si="31"/>
        <v xml:space="preserve"> </v>
      </c>
      <c r="X46" s="74" t="str">
        <f t="shared" si="32"/>
        <v xml:space="preserve"> </v>
      </c>
      <c r="Y46" s="74" t="str">
        <f t="shared" si="33"/>
        <v xml:space="preserve"> </v>
      </c>
      <c r="Z46" s="74" t="str">
        <f t="shared" si="34"/>
        <v xml:space="preserve"> </v>
      </c>
      <c r="AA46" s="74" t="str">
        <f t="shared" si="35"/>
        <v xml:space="preserve"> </v>
      </c>
      <c r="AB46" s="75" t="str">
        <f t="shared" si="36"/>
        <v xml:space="preserve"> </v>
      </c>
      <c r="AC46" s="76" t="str">
        <f t="shared" si="37"/>
        <v xml:space="preserve"> </v>
      </c>
      <c r="AD46" s="73">
        <f t="shared" si="48"/>
        <v>0</v>
      </c>
      <c r="AE46" s="73" t="str">
        <f t="shared" si="49"/>
        <v xml:space="preserve"> </v>
      </c>
      <c r="AF46" s="154" t="e">
        <f t="shared" si="50"/>
        <v>#DIV/0!</v>
      </c>
      <c r="AG46" s="208" t="str">
        <f t="shared" si="51"/>
        <v xml:space="preserve"> </v>
      </c>
      <c r="AH46" s="208" t="str">
        <f t="shared" si="52"/>
        <v xml:space="preserve"> </v>
      </c>
      <c r="AI46" s="209" t="str">
        <f t="shared" si="38"/>
        <v xml:space="preserve"> </v>
      </c>
      <c r="AJ46" s="209" t="str">
        <f t="shared" si="39"/>
        <v xml:space="preserve"> </v>
      </c>
      <c r="AK46" s="209" t="str">
        <f t="shared" si="40"/>
        <v xml:space="preserve"> </v>
      </c>
      <c r="AL46" s="209" t="str">
        <f t="shared" si="41"/>
        <v xml:space="preserve"> </v>
      </c>
      <c r="AM46" s="209" t="str">
        <f t="shared" si="42"/>
        <v xml:space="preserve"> </v>
      </c>
      <c r="AN46" s="209"/>
      <c r="AO46" s="77"/>
      <c r="AP46" s="151">
        <f t="shared" si="11"/>
        <v>0</v>
      </c>
      <c r="AQ46" s="298"/>
      <c r="AR46" s="302"/>
      <c r="AS46" s="152"/>
      <c r="AT46" s="244" t="str">
        <f t="shared" si="53"/>
        <v xml:space="preserve"> </v>
      </c>
      <c r="AU46" s="245" t="str">
        <f t="shared" si="44"/>
        <v xml:space="preserve"> </v>
      </c>
      <c r="AV46" s="245" t="str">
        <f t="shared" si="54"/>
        <v xml:space="preserve"> </v>
      </c>
      <c r="AW46" s="245" t="str">
        <f t="shared" si="55"/>
        <v xml:space="preserve"> </v>
      </c>
      <c r="AX46" s="245" t="str">
        <f t="shared" si="56"/>
        <v xml:space="preserve"> </v>
      </c>
      <c r="AY46" s="545" t="str">
        <f t="shared" si="57"/>
        <v xml:space="preserve"> </v>
      </c>
      <c r="AZ46" s="246" t="str">
        <f t="shared" si="58"/>
        <v xml:space="preserve"> </v>
      </c>
      <c r="BA46" s="73">
        <f t="shared" si="59"/>
        <v>0</v>
      </c>
      <c r="BB46" s="73" t="str">
        <f t="shared" si="60"/>
        <v xml:space="preserve"> </v>
      </c>
      <c r="BC46" s="210" t="str">
        <f t="shared" si="43"/>
        <v xml:space="preserve"> </v>
      </c>
      <c r="BD46" s="210" t="str">
        <f t="shared" si="61"/>
        <v xml:space="preserve"> </v>
      </c>
      <c r="BE46" s="157" t="str">
        <f t="shared" si="23"/>
        <v xml:space="preserve"> </v>
      </c>
      <c r="BF46" s="157" t="str">
        <f t="shared" si="24"/>
        <v xml:space="preserve"> </v>
      </c>
      <c r="BG46" s="157" t="str">
        <f t="shared" si="25"/>
        <v xml:space="preserve"> </v>
      </c>
      <c r="BH46" s="157" t="str">
        <f t="shared" si="26"/>
        <v xml:space="preserve"> </v>
      </c>
      <c r="BI46" s="211" t="str">
        <f t="shared" si="27"/>
        <v xml:space="preserve"> </v>
      </c>
      <c r="BJ46" s="248"/>
      <c r="BK46" s="248"/>
    </row>
    <row r="47" spans="1:63" ht="12.75" hidden="1" customHeight="1" outlineLevel="1" thickBot="1">
      <c r="A47" s="248"/>
      <c r="B47" s="248"/>
      <c r="C47" s="266" t="s">
        <v>286</v>
      </c>
      <c r="D47" s="253" t="s">
        <v>202</v>
      </c>
      <c r="E47" s="253"/>
      <c r="F47" s="276">
        <v>0.2</v>
      </c>
      <c r="G47" s="276">
        <v>0.9</v>
      </c>
      <c r="H47" s="277">
        <v>5.5</v>
      </c>
      <c r="I47" s="277">
        <v>0.6</v>
      </c>
      <c r="J47" s="277">
        <v>5</v>
      </c>
      <c r="K47" s="277">
        <v>0.4</v>
      </c>
      <c r="L47" s="277">
        <v>0</v>
      </c>
      <c r="M47" s="257"/>
      <c r="N47" s="291"/>
      <c r="O47" s="294" t="str">
        <f t="shared" si="45"/>
        <v xml:space="preserve"> </v>
      </c>
      <c r="P47" s="314" t="str">
        <f t="shared" si="46"/>
        <v xml:space="preserve"> </v>
      </c>
      <c r="Q47" s="311" t="str">
        <f t="shared" si="47"/>
        <v xml:space="preserve"> </v>
      </c>
      <c r="R47" s="250"/>
      <c r="S47" s="151">
        <f t="shared" si="0"/>
        <v>0</v>
      </c>
      <c r="T47" s="298"/>
      <c r="U47" s="299"/>
      <c r="V47" s="152"/>
      <c r="W47" s="153" t="str">
        <f t="shared" si="31"/>
        <v xml:space="preserve"> </v>
      </c>
      <c r="X47" s="74" t="str">
        <f t="shared" si="32"/>
        <v xml:space="preserve"> </v>
      </c>
      <c r="Y47" s="74" t="str">
        <f t="shared" si="33"/>
        <v xml:space="preserve"> </v>
      </c>
      <c r="Z47" s="74" t="str">
        <f t="shared" si="34"/>
        <v xml:space="preserve"> </v>
      </c>
      <c r="AA47" s="74" t="str">
        <f t="shared" si="35"/>
        <v xml:space="preserve"> </v>
      </c>
      <c r="AB47" s="75" t="str">
        <f t="shared" si="36"/>
        <v xml:space="preserve"> </v>
      </c>
      <c r="AC47" s="76" t="str">
        <f t="shared" si="37"/>
        <v xml:space="preserve"> </v>
      </c>
      <c r="AD47" s="73">
        <f t="shared" si="48"/>
        <v>0</v>
      </c>
      <c r="AE47" s="73" t="str">
        <f t="shared" si="49"/>
        <v xml:space="preserve"> </v>
      </c>
      <c r="AF47" s="154" t="e">
        <f t="shared" si="50"/>
        <v>#DIV/0!</v>
      </c>
      <c r="AG47" s="208" t="str">
        <f t="shared" si="51"/>
        <v xml:space="preserve"> </v>
      </c>
      <c r="AH47" s="208" t="str">
        <f t="shared" si="52"/>
        <v xml:space="preserve"> </v>
      </c>
      <c r="AI47" s="209" t="str">
        <f t="shared" si="38"/>
        <v xml:space="preserve"> </v>
      </c>
      <c r="AJ47" s="209" t="str">
        <f t="shared" si="39"/>
        <v xml:space="preserve"> </v>
      </c>
      <c r="AK47" s="209" t="str">
        <f t="shared" si="40"/>
        <v xml:space="preserve"> </v>
      </c>
      <c r="AL47" s="209" t="str">
        <f t="shared" si="41"/>
        <v xml:space="preserve"> </v>
      </c>
      <c r="AM47" s="209" t="str">
        <f t="shared" si="42"/>
        <v xml:space="preserve"> </v>
      </c>
      <c r="AN47" s="209"/>
      <c r="AO47" s="77"/>
      <c r="AP47" s="151">
        <f t="shared" si="11"/>
        <v>0</v>
      </c>
      <c r="AQ47" s="298"/>
      <c r="AR47" s="302"/>
      <c r="AS47" s="152"/>
      <c r="AT47" s="244" t="str">
        <f t="shared" si="53"/>
        <v xml:space="preserve"> </v>
      </c>
      <c r="AU47" s="245" t="str">
        <f t="shared" si="44"/>
        <v xml:space="preserve"> </v>
      </c>
      <c r="AV47" s="245" t="str">
        <f t="shared" si="54"/>
        <v xml:space="preserve"> </v>
      </c>
      <c r="AW47" s="245" t="str">
        <f t="shared" si="55"/>
        <v xml:space="preserve"> </v>
      </c>
      <c r="AX47" s="245" t="str">
        <f t="shared" si="56"/>
        <v xml:space="preserve"> </v>
      </c>
      <c r="AY47" s="545" t="str">
        <f t="shared" si="57"/>
        <v xml:space="preserve"> </v>
      </c>
      <c r="AZ47" s="246" t="str">
        <f t="shared" si="58"/>
        <v xml:space="preserve"> </v>
      </c>
      <c r="BA47" s="73">
        <f t="shared" si="59"/>
        <v>0</v>
      </c>
      <c r="BB47" s="73" t="str">
        <f t="shared" si="60"/>
        <v xml:space="preserve"> </v>
      </c>
      <c r="BC47" s="210" t="str">
        <f t="shared" si="43"/>
        <v xml:space="preserve"> </v>
      </c>
      <c r="BD47" s="210" t="str">
        <f t="shared" si="61"/>
        <v xml:space="preserve"> </v>
      </c>
      <c r="BE47" s="157" t="str">
        <f t="shared" si="23"/>
        <v xml:space="preserve"> </v>
      </c>
      <c r="BF47" s="157" t="str">
        <f t="shared" si="24"/>
        <v xml:space="preserve"> </v>
      </c>
      <c r="BG47" s="157" t="str">
        <f t="shared" si="25"/>
        <v xml:space="preserve"> </v>
      </c>
      <c r="BH47" s="157" t="str">
        <f t="shared" si="26"/>
        <v xml:space="preserve"> </v>
      </c>
      <c r="BI47" s="211" t="str">
        <f t="shared" si="27"/>
        <v xml:space="preserve"> </v>
      </c>
      <c r="BJ47" s="248"/>
      <c r="BK47" s="248"/>
    </row>
    <row r="48" spans="1:63" ht="12.75" hidden="1" customHeight="1" outlineLevel="1" thickBot="1">
      <c r="A48" s="248"/>
      <c r="B48" s="248"/>
      <c r="C48" s="266" t="s">
        <v>290</v>
      </c>
      <c r="D48" s="253" t="s">
        <v>202</v>
      </c>
      <c r="E48" s="253"/>
      <c r="F48" s="276">
        <v>0.2</v>
      </c>
      <c r="G48" s="276">
        <v>0.9</v>
      </c>
      <c r="H48" s="277">
        <v>4.8</v>
      </c>
      <c r="I48" s="277">
        <v>0.6</v>
      </c>
      <c r="J48" s="277">
        <v>3.9</v>
      </c>
      <c r="K48" s="277">
        <v>0.3</v>
      </c>
      <c r="L48" s="277">
        <v>0</v>
      </c>
      <c r="M48" s="257"/>
      <c r="N48" s="291"/>
      <c r="O48" s="294" t="str">
        <f t="shared" si="45"/>
        <v xml:space="preserve"> </v>
      </c>
      <c r="P48" s="314" t="str">
        <f t="shared" si="46"/>
        <v xml:space="preserve"> </v>
      </c>
      <c r="Q48" s="311" t="str">
        <f t="shared" si="47"/>
        <v xml:space="preserve"> </v>
      </c>
      <c r="R48" s="250"/>
      <c r="S48" s="151">
        <f t="shared" si="0"/>
        <v>0</v>
      </c>
      <c r="T48" s="298"/>
      <c r="U48" s="299"/>
      <c r="V48" s="152"/>
      <c r="W48" s="153" t="str">
        <f t="shared" si="31"/>
        <v xml:space="preserve"> </v>
      </c>
      <c r="X48" s="74" t="str">
        <f t="shared" si="32"/>
        <v xml:space="preserve"> </v>
      </c>
      <c r="Y48" s="74" t="str">
        <f t="shared" si="33"/>
        <v xml:space="preserve"> </v>
      </c>
      <c r="Z48" s="74" t="str">
        <f t="shared" si="34"/>
        <v xml:space="preserve"> </v>
      </c>
      <c r="AA48" s="74" t="str">
        <f t="shared" si="35"/>
        <v xml:space="preserve"> </v>
      </c>
      <c r="AB48" s="75" t="str">
        <f t="shared" si="36"/>
        <v xml:space="preserve"> </v>
      </c>
      <c r="AC48" s="76" t="str">
        <f t="shared" si="37"/>
        <v xml:space="preserve"> </v>
      </c>
      <c r="AD48" s="73">
        <f t="shared" si="48"/>
        <v>0</v>
      </c>
      <c r="AE48" s="73" t="str">
        <f t="shared" si="49"/>
        <v xml:space="preserve"> </v>
      </c>
      <c r="AF48" s="154" t="e">
        <f t="shared" si="50"/>
        <v>#DIV/0!</v>
      </c>
      <c r="AG48" s="208" t="str">
        <f t="shared" si="51"/>
        <v xml:space="preserve"> </v>
      </c>
      <c r="AH48" s="208" t="str">
        <f t="shared" si="52"/>
        <v xml:space="preserve"> </v>
      </c>
      <c r="AI48" s="209" t="str">
        <f t="shared" si="38"/>
        <v xml:space="preserve"> </v>
      </c>
      <c r="AJ48" s="209" t="str">
        <f t="shared" si="39"/>
        <v xml:space="preserve"> </v>
      </c>
      <c r="AK48" s="209" t="str">
        <f t="shared" si="40"/>
        <v xml:space="preserve"> </v>
      </c>
      <c r="AL48" s="209" t="str">
        <f t="shared" si="41"/>
        <v xml:space="preserve"> </v>
      </c>
      <c r="AM48" s="209" t="str">
        <f t="shared" si="42"/>
        <v xml:space="preserve"> </v>
      </c>
      <c r="AN48" s="209"/>
      <c r="AO48" s="77"/>
      <c r="AP48" s="151">
        <f t="shared" si="11"/>
        <v>0</v>
      </c>
      <c r="AQ48" s="298"/>
      <c r="AR48" s="302"/>
      <c r="AS48" s="152"/>
      <c r="AT48" s="244" t="str">
        <f t="shared" si="53"/>
        <v xml:space="preserve"> </v>
      </c>
      <c r="AU48" s="245" t="str">
        <f t="shared" si="44"/>
        <v xml:space="preserve"> </v>
      </c>
      <c r="AV48" s="245" t="str">
        <f t="shared" si="54"/>
        <v xml:space="preserve"> </v>
      </c>
      <c r="AW48" s="245" t="str">
        <f t="shared" si="55"/>
        <v xml:space="preserve"> </v>
      </c>
      <c r="AX48" s="245" t="str">
        <f t="shared" si="56"/>
        <v xml:space="preserve"> </v>
      </c>
      <c r="AY48" s="545" t="str">
        <f t="shared" si="57"/>
        <v xml:space="preserve"> </v>
      </c>
      <c r="AZ48" s="246" t="str">
        <f t="shared" si="58"/>
        <v xml:space="preserve"> </v>
      </c>
      <c r="BA48" s="73">
        <f t="shared" si="59"/>
        <v>0</v>
      </c>
      <c r="BB48" s="73" t="str">
        <f t="shared" si="60"/>
        <v xml:space="preserve"> </v>
      </c>
      <c r="BC48" s="210" t="str">
        <f t="shared" si="43"/>
        <v xml:space="preserve"> </v>
      </c>
      <c r="BD48" s="210" t="str">
        <f t="shared" si="61"/>
        <v xml:space="preserve"> </v>
      </c>
      <c r="BE48" s="157" t="str">
        <f t="shared" si="23"/>
        <v xml:space="preserve"> </v>
      </c>
      <c r="BF48" s="157" t="str">
        <f t="shared" si="24"/>
        <v xml:space="preserve"> </v>
      </c>
      <c r="BG48" s="157" t="str">
        <f t="shared" si="25"/>
        <v xml:space="preserve"> </v>
      </c>
      <c r="BH48" s="157" t="str">
        <f t="shared" si="26"/>
        <v xml:space="preserve"> </v>
      </c>
      <c r="BI48" s="211" t="str">
        <f t="shared" si="27"/>
        <v xml:space="preserve"> </v>
      </c>
      <c r="BJ48" s="248"/>
      <c r="BK48" s="248"/>
    </row>
    <row r="49" spans="1:63" ht="12.75" hidden="1" customHeight="1" outlineLevel="1" thickBot="1">
      <c r="A49" s="248"/>
      <c r="B49" s="248"/>
      <c r="C49" s="266" t="s">
        <v>291</v>
      </c>
      <c r="D49" s="253" t="s">
        <v>202</v>
      </c>
      <c r="E49" s="253"/>
      <c r="F49" s="276">
        <v>0.2</v>
      </c>
      <c r="G49" s="276">
        <v>0.9</v>
      </c>
      <c r="H49" s="277">
        <v>4.8</v>
      </c>
      <c r="I49" s="277">
        <v>0.6</v>
      </c>
      <c r="J49" s="277">
        <v>3.9</v>
      </c>
      <c r="K49" s="277">
        <v>0.3</v>
      </c>
      <c r="L49" s="277">
        <v>0</v>
      </c>
      <c r="M49" s="257"/>
      <c r="N49" s="291"/>
      <c r="O49" s="294" t="str">
        <f t="shared" si="45"/>
        <v xml:space="preserve"> </v>
      </c>
      <c r="P49" s="314" t="str">
        <f t="shared" si="46"/>
        <v xml:space="preserve"> </v>
      </c>
      <c r="Q49" s="311" t="str">
        <f t="shared" si="47"/>
        <v xml:space="preserve"> </v>
      </c>
      <c r="R49" s="250"/>
      <c r="S49" s="151">
        <f t="shared" si="0"/>
        <v>0</v>
      </c>
      <c r="T49" s="298"/>
      <c r="U49" s="299"/>
      <c r="V49" s="152"/>
      <c r="W49" s="153" t="str">
        <f t="shared" si="31"/>
        <v xml:space="preserve"> </v>
      </c>
      <c r="X49" s="74" t="str">
        <f t="shared" si="32"/>
        <v xml:space="preserve"> </v>
      </c>
      <c r="Y49" s="74" t="str">
        <f t="shared" si="33"/>
        <v xml:space="preserve"> </v>
      </c>
      <c r="Z49" s="74" t="str">
        <f t="shared" si="34"/>
        <v xml:space="preserve"> </v>
      </c>
      <c r="AA49" s="74" t="str">
        <f t="shared" si="35"/>
        <v xml:space="preserve"> </v>
      </c>
      <c r="AB49" s="75" t="str">
        <f t="shared" si="36"/>
        <v xml:space="preserve"> </v>
      </c>
      <c r="AC49" s="76" t="str">
        <f t="shared" si="37"/>
        <v xml:space="preserve"> </v>
      </c>
      <c r="AD49" s="73">
        <f t="shared" si="48"/>
        <v>0</v>
      </c>
      <c r="AE49" s="73" t="str">
        <f t="shared" si="49"/>
        <v xml:space="preserve"> </v>
      </c>
      <c r="AF49" s="154" t="e">
        <f t="shared" si="50"/>
        <v>#DIV/0!</v>
      </c>
      <c r="AG49" s="208" t="str">
        <f t="shared" si="51"/>
        <v xml:space="preserve"> </v>
      </c>
      <c r="AH49" s="208" t="str">
        <f t="shared" si="52"/>
        <v xml:space="preserve"> </v>
      </c>
      <c r="AI49" s="209" t="str">
        <f t="shared" si="38"/>
        <v xml:space="preserve"> </v>
      </c>
      <c r="AJ49" s="209" t="str">
        <f t="shared" si="39"/>
        <v xml:space="preserve"> </v>
      </c>
      <c r="AK49" s="209" t="str">
        <f t="shared" si="40"/>
        <v xml:space="preserve"> </v>
      </c>
      <c r="AL49" s="209" t="str">
        <f t="shared" si="41"/>
        <v xml:space="preserve"> </v>
      </c>
      <c r="AM49" s="209" t="str">
        <f t="shared" si="42"/>
        <v xml:space="preserve"> </v>
      </c>
      <c r="AN49" s="209"/>
      <c r="AO49" s="77"/>
      <c r="AP49" s="151">
        <f t="shared" si="11"/>
        <v>0</v>
      </c>
      <c r="AQ49" s="298"/>
      <c r="AR49" s="302"/>
      <c r="AS49" s="152"/>
      <c r="AT49" s="244" t="str">
        <f t="shared" si="53"/>
        <v xml:space="preserve"> </v>
      </c>
      <c r="AU49" s="245" t="str">
        <f t="shared" si="44"/>
        <v xml:space="preserve"> </v>
      </c>
      <c r="AV49" s="245" t="str">
        <f t="shared" si="54"/>
        <v xml:space="preserve"> </v>
      </c>
      <c r="AW49" s="245" t="str">
        <f t="shared" si="55"/>
        <v xml:space="preserve"> </v>
      </c>
      <c r="AX49" s="245" t="str">
        <f t="shared" si="56"/>
        <v xml:space="preserve"> </v>
      </c>
      <c r="AY49" s="545" t="str">
        <f t="shared" si="57"/>
        <v xml:space="preserve"> </v>
      </c>
      <c r="AZ49" s="246" t="str">
        <f t="shared" si="58"/>
        <v xml:space="preserve"> </v>
      </c>
      <c r="BA49" s="73">
        <f t="shared" si="59"/>
        <v>0</v>
      </c>
      <c r="BB49" s="73" t="str">
        <f t="shared" si="60"/>
        <v xml:space="preserve"> </v>
      </c>
      <c r="BC49" s="210" t="str">
        <f t="shared" si="43"/>
        <v xml:space="preserve"> </v>
      </c>
      <c r="BD49" s="210" t="str">
        <f t="shared" si="61"/>
        <v xml:space="preserve"> </v>
      </c>
      <c r="BE49" s="157" t="str">
        <f t="shared" si="23"/>
        <v xml:space="preserve"> </v>
      </c>
      <c r="BF49" s="157" t="str">
        <f t="shared" si="24"/>
        <v xml:space="preserve"> </v>
      </c>
      <c r="BG49" s="157" t="str">
        <f t="shared" si="25"/>
        <v xml:space="preserve"> </v>
      </c>
      <c r="BH49" s="157" t="str">
        <f t="shared" si="26"/>
        <v xml:space="preserve"> </v>
      </c>
      <c r="BI49" s="211" t="str">
        <f t="shared" si="27"/>
        <v xml:space="preserve"> </v>
      </c>
      <c r="BJ49" s="248"/>
      <c r="BK49" s="248"/>
    </row>
    <row r="50" spans="1:63" ht="12.75" hidden="1" customHeight="1" outlineLevel="1" thickBot="1">
      <c r="A50" s="248"/>
      <c r="B50" s="248"/>
      <c r="C50" s="266" t="s">
        <v>300</v>
      </c>
      <c r="D50" s="253"/>
      <c r="E50" s="253"/>
      <c r="F50" s="276">
        <v>0.15</v>
      </c>
      <c r="G50" s="276">
        <v>0.9</v>
      </c>
      <c r="H50" s="277">
        <v>4.5</v>
      </c>
      <c r="I50" s="277">
        <v>0.6</v>
      </c>
      <c r="J50" s="277">
        <v>4.55</v>
      </c>
      <c r="K50" s="277">
        <v>0.7</v>
      </c>
      <c r="L50" s="277">
        <v>0</v>
      </c>
      <c r="M50" s="257"/>
      <c r="N50" s="291"/>
      <c r="O50" s="294" t="str">
        <f t="shared" si="45"/>
        <v xml:space="preserve"> </v>
      </c>
      <c r="P50" s="314" t="str">
        <f t="shared" si="46"/>
        <v xml:space="preserve"> </v>
      </c>
      <c r="Q50" s="311" t="str">
        <f t="shared" si="47"/>
        <v xml:space="preserve"> </v>
      </c>
      <c r="R50" s="250"/>
      <c r="S50" s="151">
        <f t="shared" si="0"/>
        <v>0</v>
      </c>
      <c r="T50" s="298"/>
      <c r="U50" s="299"/>
      <c r="V50" s="152"/>
      <c r="W50" s="153" t="str">
        <f t="shared" si="31"/>
        <v xml:space="preserve"> </v>
      </c>
      <c r="X50" s="74" t="str">
        <f t="shared" si="32"/>
        <v xml:space="preserve"> </v>
      </c>
      <c r="Y50" s="74" t="str">
        <f t="shared" si="33"/>
        <v xml:space="preserve"> </v>
      </c>
      <c r="Z50" s="74" t="str">
        <f t="shared" si="34"/>
        <v xml:space="preserve"> </v>
      </c>
      <c r="AA50" s="74" t="str">
        <f t="shared" si="35"/>
        <v xml:space="preserve"> </v>
      </c>
      <c r="AB50" s="75" t="str">
        <f t="shared" si="36"/>
        <v xml:space="preserve"> </v>
      </c>
      <c r="AC50" s="76" t="str">
        <f t="shared" si="37"/>
        <v xml:space="preserve"> </v>
      </c>
      <c r="AD50" s="73">
        <f t="shared" si="48"/>
        <v>0</v>
      </c>
      <c r="AE50" s="73" t="str">
        <f t="shared" si="49"/>
        <v xml:space="preserve"> </v>
      </c>
      <c r="AF50" s="154" t="e">
        <f t="shared" si="50"/>
        <v>#DIV/0!</v>
      </c>
      <c r="AG50" s="208" t="str">
        <f t="shared" si="51"/>
        <v xml:space="preserve"> </v>
      </c>
      <c r="AH50" s="208" t="str">
        <f t="shared" si="52"/>
        <v xml:space="preserve"> </v>
      </c>
      <c r="AI50" s="209" t="str">
        <f t="shared" si="38"/>
        <v xml:space="preserve"> </v>
      </c>
      <c r="AJ50" s="209" t="str">
        <f t="shared" si="39"/>
        <v xml:space="preserve"> </v>
      </c>
      <c r="AK50" s="209" t="str">
        <f t="shared" si="40"/>
        <v xml:space="preserve"> </v>
      </c>
      <c r="AL50" s="209" t="str">
        <f t="shared" si="41"/>
        <v xml:space="preserve"> </v>
      </c>
      <c r="AM50" s="209" t="str">
        <f t="shared" si="42"/>
        <v xml:space="preserve"> </v>
      </c>
      <c r="AN50" s="209"/>
      <c r="AO50" s="77"/>
      <c r="AP50" s="151">
        <f t="shared" si="11"/>
        <v>0</v>
      </c>
      <c r="AQ50" s="298"/>
      <c r="AR50" s="302"/>
      <c r="AS50" s="152"/>
      <c r="AT50" s="244" t="str">
        <f t="shared" si="53"/>
        <v xml:space="preserve"> </v>
      </c>
      <c r="AU50" s="245" t="str">
        <f t="shared" si="44"/>
        <v xml:space="preserve"> </v>
      </c>
      <c r="AV50" s="245" t="str">
        <f t="shared" si="54"/>
        <v xml:space="preserve"> </v>
      </c>
      <c r="AW50" s="245" t="str">
        <f t="shared" si="55"/>
        <v xml:space="preserve"> </v>
      </c>
      <c r="AX50" s="245" t="str">
        <f t="shared" si="56"/>
        <v xml:space="preserve"> </v>
      </c>
      <c r="AY50" s="545" t="str">
        <f t="shared" si="57"/>
        <v xml:space="preserve"> </v>
      </c>
      <c r="AZ50" s="246" t="str">
        <f t="shared" si="58"/>
        <v xml:space="preserve"> </v>
      </c>
      <c r="BA50" s="73">
        <f t="shared" si="59"/>
        <v>0</v>
      </c>
      <c r="BB50" s="73" t="str">
        <f t="shared" si="60"/>
        <v xml:space="preserve"> </v>
      </c>
      <c r="BC50" s="210" t="str">
        <f t="shared" si="43"/>
        <v xml:space="preserve"> </v>
      </c>
      <c r="BD50" s="210" t="str">
        <f t="shared" si="61"/>
        <v xml:space="preserve"> </v>
      </c>
      <c r="BE50" s="157" t="str">
        <f t="shared" si="23"/>
        <v xml:space="preserve"> </v>
      </c>
      <c r="BF50" s="157" t="str">
        <f t="shared" si="24"/>
        <v xml:space="preserve"> </v>
      </c>
      <c r="BG50" s="157" t="str">
        <f t="shared" si="25"/>
        <v xml:space="preserve"> </v>
      </c>
      <c r="BH50" s="157" t="str">
        <f t="shared" si="26"/>
        <v xml:space="preserve"> </v>
      </c>
      <c r="BI50" s="211" t="str">
        <f t="shared" si="27"/>
        <v xml:space="preserve"> </v>
      </c>
      <c r="BJ50" s="248"/>
      <c r="BK50" s="248"/>
    </row>
    <row r="51" spans="1:63" ht="12.75" hidden="1" customHeight="1" outlineLevel="1" collapsed="1" thickBot="1">
      <c r="A51" s="248"/>
      <c r="B51" s="248"/>
      <c r="C51" s="266" t="s">
        <v>314</v>
      </c>
      <c r="D51" s="253" t="s">
        <v>307</v>
      </c>
      <c r="E51" s="253"/>
      <c r="F51" s="276">
        <v>1</v>
      </c>
      <c r="G51" s="276">
        <v>0.9</v>
      </c>
      <c r="H51" s="277">
        <v>14.8</v>
      </c>
      <c r="I51" s="277">
        <v>2.6</v>
      </c>
      <c r="J51" s="277">
        <v>13.7</v>
      </c>
      <c r="K51" s="277">
        <v>1.9</v>
      </c>
      <c r="L51" s="277">
        <v>0</v>
      </c>
      <c r="M51" s="257">
        <v>200</v>
      </c>
      <c r="N51" s="291">
        <v>0.52</v>
      </c>
      <c r="O51" s="294" t="str">
        <f t="shared" si="45"/>
        <v xml:space="preserve"> </v>
      </c>
      <c r="P51" s="314" t="str">
        <f t="shared" si="46"/>
        <v xml:space="preserve"> </v>
      </c>
      <c r="Q51" s="311" t="str">
        <f t="shared" si="47"/>
        <v xml:space="preserve"> </v>
      </c>
      <c r="R51" s="250"/>
      <c r="S51" s="151">
        <f t="shared" si="0"/>
        <v>0</v>
      </c>
      <c r="T51" s="298"/>
      <c r="U51" s="299"/>
      <c r="V51" s="152"/>
      <c r="W51" s="153" t="str">
        <f t="shared" si="31"/>
        <v xml:space="preserve"> </v>
      </c>
      <c r="X51" s="74" t="str">
        <f t="shared" si="32"/>
        <v xml:space="preserve"> </v>
      </c>
      <c r="Y51" s="74" t="str">
        <f t="shared" si="33"/>
        <v xml:space="preserve"> </v>
      </c>
      <c r="Z51" s="74" t="str">
        <f t="shared" si="34"/>
        <v xml:space="preserve"> </v>
      </c>
      <c r="AA51" s="74" t="str">
        <f t="shared" si="35"/>
        <v xml:space="preserve"> </v>
      </c>
      <c r="AB51" s="75" t="str">
        <f t="shared" si="36"/>
        <v xml:space="preserve"> </v>
      </c>
      <c r="AC51" s="76" t="str">
        <f t="shared" si="37"/>
        <v xml:space="preserve"> </v>
      </c>
      <c r="AD51" s="73">
        <f t="shared" si="48"/>
        <v>0</v>
      </c>
      <c r="AE51" s="73" t="str">
        <f t="shared" si="49"/>
        <v xml:space="preserve"> </v>
      </c>
      <c r="AF51" s="154">
        <f t="shared" si="50"/>
        <v>0.45494505494505494</v>
      </c>
      <c r="AG51" s="208" t="str">
        <f t="shared" si="51"/>
        <v xml:space="preserve"> </v>
      </c>
      <c r="AH51" s="208" t="str">
        <f t="shared" si="52"/>
        <v xml:space="preserve"> </v>
      </c>
      <c r="AI51" s="209" t="str">
        <f t="shared" si="38"/>
        <v xml:space="preserve"> </v>
      </c>
      <c r="AJ51" s="209" t="str">
        <f t="shared" si="39"/>
        <v xml:space="preserve"> </v>
      </c>
      <c r="AK51" s="209" t="str">
        <f t="shared" si="40"/>
        <v xml:space="preserve"> </v>
      </c>
      <c r="AL51" s="209" t="str">
        <f t="shared" si="41"/>
        <v xml:space="preserve"> </v>
      </c>
      <c r="AM51" s="209" t="str">
        <f t="shared" si="42"/>
        <v xml:space="preserve"> </v>
      </c>
      <c r="AN51" s="209"/>
      <c r="AO51" s="77"/>
      <c r="AP51" s="151">
        <f t="shared" si="11"/>
        <v>0</v>
      </c>
      <c r="AQ51" s="298"/>
      <c r="AR51" s="302"/>
      <c r="AS51" s="152"/>
      <c r="AT51" s="244" t="str">
        <f t="shared" si="53"/>
        <v xml:space="preserve"> </v>
      </c>
      <c r="AU51" s="245" t="str">
        <f t="shared" si="44"/>
        <v xml:space="preserve"> </v>
      </c>
      <c r="AV51" s="245" t="str">
        <f t="shared" si="54"/>
        <v xml:space="preserve"> </v>
      </c>
      <c r="AW51" s="245" t="str">
        <f t="shared" si="55"/>
        <v xml:space="preserve"> </v>
      </c>
      <c r="AX51" s="245" t="str">
        <f t="shared" si="56"/>
        <v xml:space="preserve"> </v>
      </c>
      <c r="AY51" s="545" t="str">
        <f t="shared" si="57"/>
        <v xml:space="preserve"> </v>
      </c>
      <c r="AZ51" s="246" t="str">
        <f t="shared" si="58"/>
        <v xml:space="preserve"> </v>
      </c>
      <c r="BA51" s="73">
        <f t="shared" si="59"/>
        <v>0</v>
      </c>
      <c r="BB51" s="73" t="str">
        <f t="shared" si="60"/>
        <v xml:space="preserve"> </v>
      </c>
      <c r="BC51" s="210" t="str">
        <f t="shared" si="43"/>
        <v xml:space="preserve"> </v>
      </c>
      <c r="BD51" s="210" t="str">
        <f t="shared" si="61"/>
        <v xml:space="preserve"> </v>
      </c>
      <c r="BE51" s="157" t="str">
        <f t="shared" si="23"/>
        <v xml:space="preserve"> </v>
      </c>
      <c r="BF51" s="157" t="str">
        <f t="shared" si="24"/>
        <v xml:space="preserve"> </v>
      </c>
      <c r="BG51" s="157" t="str">
        <f t="shared" si="25"/>
        <v xml:space="preserve"> </v>
      </c>
      <c r="BH51" s="157" t="str">
        <f t="shared" si="26"/>
        <v xml:space="preserve"> </v>
      </c>
      <c r="BI51" s="211" t="str">
        <f t="shared" si="27"/>
        <v xml:space="preserve"> </v>
      </c>
      <c r="BJ51" s="248"/>
      <c r="BK51" s="248"/>
    </row>
    <row r="52" spans="1:63" ht="12.75" hidden="1" customHeight="1" outlineLevel="1" thickBot="1">
      <c r="A52" s="248"/>
      <c r="B52" s="248"/>
      <c r="C52" s="266" t="s">
        <v>259</v>
      </c>
      <c r="D52" s="253" t="s">
        <v>260</v>
      </c>
      <c r="E52" s="253"/>
      <c r="F52" s="276">
        <v>0.22</v>
      </c>
      <c r="G52" s="276">
        <v>0.94</v>
      </c>
      <c r="H52" s="277">
        <v>4.3</v>
      </c>
      <c r="I52" s="277">
        <v>0.7</v>
      </c>
      <c r="J52" s="277">
        <v>5</v>
      </c>
      <c r="K52" s="277">
        <v>0.2</v>
      </c>
      <c r="L52" s="277">
        <v>0</v>
      </c>
      <c r="M52" s="257"/>
      <c r="N52" s="291"/>
      <c r="O52" s="294" t="str">
        <f t="shared" si="45"/>
        <v xml:space="preserve"> </v>
      </c>
      <c r="P52" s="314" t="str">
        <f t="shared" si="46"/>
        <v xml:space="preserve"> </v>
      </c>
      <c r="Q52" s="311" t="str">
        <f t="shared" si="47"/>
        <v xml:space="preserve"> </v>
      </c>
      <c r="R52" s="250"/>
      <c r="S52" s="151">
        <f t="shared" si="0"/>
        <v>0</v>
      </c>
      <c r="T52" s="298"/>
      <c r="U52" s="299"/>
      <c r="V52" s="152"/>
      <c r="W52" s="153" t="str">
        <f t="shared" si="31"/>
        <v xml:space="preserve"> </v>
      </c>
      <c r="X52" s="74" t="str">
        <f t="shared" si="32"/>
        <v xml:space="preserve"> </v>
      </c>
      <c r="Y52" s="74" t="str">
        <f t="shared" si="33"/>
        <v xml:space="preserve"> </v>
      </c>
      <c r="Z52" s="74" t="str">
        <f t="shared" si="34"/>
        <v xml:space="preserve"> </v>
      </c>
      <c r="AA52" s="74" t="str">
        <f t="shared" si="35"/>
        <v xml:space="preserve"> </v>
      </c>
      <c r="AB52" s="75" t="str">
        <f t="shared" si="36"/>
        <v xml:space="preserve"> </v>
      </c>
      <c r="AC52" s="76" t="str">
        <f t="shared" si="37"/>
        <v xml:space="preserve"> </v>
      </c>
      <c r="AD52" s="73">
        <f t="shared" si="48"/>
        <v>0</v>
      </c>
      <c r="AE52" s="73" t="str">
        <f t="shared" si="49"/>
        <v xml:space="preserve"> </v>
      </c>
      <c r="AF52" s="154" t="e">
        <f t="shared" si="50"/>
        <v>#DIV/0!</v>
      </c>
      <c r="AG52" s="208" t="str">
        <f t="shared" si="51"/>
        <v xml:space="preserve"> </v>
      </c>
      <c r="AH52" s="208" t="str">
        <f t="shared" si="52"/>
        <v xml:space="preserve"> </v>
      </c>
      <c r="AI52" s="209" t="str">
        <f t="shared" si="38"/>
        <v xml:space="preserve"> </v>
      </c>
      <c r="AJ52" s="209" t="str">
        <f t="shared" si="39"/>
        <v xml:space="preserve"> </v>
      </c>
      <c r="AK52" s="209" t="str">
        <f t="shared" si="40"/>
        <v xml:space="preserve"> </v>
      </c>
      <c r="AL52" s="209" t="str">
        <f t="shared" si="41"/>
        <v xml:space="preserve"> </v>
      </c>
      <c r="AM52" s="209" t="str">
        <f t="shared" si="42"/>
        <v xml:space="preserve"> </v>
      </c>
      <c r="AN52" s="209"/>
      <c r="AO52" s="77"/>
      <c r="AP52" s="151">
        <f t="shared" si="11"/>
        <v>0</v>
      </c>
      <c r="AQ52" s="298"/>
      <c r="AR52" s="302"/>
      <c r="AS52" s="152"/>
      <c r="AT52" s="244" t="str">
        <f t="shared" si="53"/>
        <v xml:space="preserve"> </v>
      </c>
      <c r="AU52" s="245" t="str">
        <f t="shared" si="44"/>
        <v xml:space="preserve"> </v>
      </c>
      <c r="AV52" s="245" t="str">
        <f t="shared" si="54"/>
        <v xml:space="preserve"> </v>
      </c>
      <c r="AW52" s="245" t="str">
        <f t="shared" si="55"/>
        <v xml:space="preserve"> </v>
      </c>
      <c r="AX52" s="245" t="str">
        <f t="shared" si="56"/>
        <v xml:space="preserve"> </v>
      </c>
      <c r="AY52" s="545" t="str">
        <f t="shared" si="57"/>
        <v xml:space="preserve"> </v>
      </c>
      <c r="AZ52" s="246" t="str">
        <f t="shared" si="58"/>
        <v xml:space="preserve"> </v>
      </c>
      <c r="BA52" s="73">
        <f t="shared" si="59"/>
        <v>0</v>
      </c>
      <c r="BB52" s="73" t="str">
        <f t="shared" si="60"/>
        <v xml:space="preserve"> </v>
      </c>
      <c r="BC52" s="210" t="str">
        <f t="shared" si="43"/>
        <v xml:space="preserve"> </v>
      </c>
      <c r="BD52" s="210" t="str">
        <f t="shared" si="61"/>
        <v xml:space="preserve"> </v>
      </c>
      <c r="BE52" s="157" t="str">
        <f t="shared" si="23"/>
        <v xml:space="preserve"> </v>
      </c>
      <c r="BF52" s="157" t="str">
        <f t="shared" si="24"/>
        <v xml:space="preserve"> </v>
      </c>
      <c r="BG52" s="157" t="str">
        <f t="shared" si="25"/>
        <v xml:space="preserve"> </v>
      </c>
      <c r="BH52" s="157" t="str">
        <f t="shared" si="26"/>
        <v xml:space="preserve"> </v>
      </c>
      <c r="BI52" s="211" t="str">
        <f t="shared" si="27"/>
        <v xml:space="preserve"> </v>
      </c>
      <c r="BJ52" s="248"/>
      <c r="BK52" s="248"/>
    </row>
    <row r="53" spans="1:63" ht="12.75" hidden="1" customHeight="1" outlineLevel="1" thickBot="1">
      <c r="A53" s="248"/>
      <c r="B53" s="248"/>
      <c r="C53" s="266" t="s">
        <v>263</v>
      </c>
      <c r="D53" s="253" t="s">
        <v>260</v>
      </c>
      <c r="E53" s="253"/>
      <c r="F53" s="276">
        <v>0.22</v>
      </c>
      <c r="G53" s="276">
        <v>0.94</v>
      </c>
      <c r="H53" s="277">
        <v>3.5</v>
      </c>
      <c r="I53" s="277">
        <v>0.6</v>
      </c>
      <c r="J53" s="277">
        <v>5</v>
      </c>
      <c r="K53" s="277">
        <v>0.2</v>
      </c>
      <c r="L53" s="277">
        <v>0</v>
      </c>
      <c r="M53" s="257"/>
      <c r="N53" s="291"/>
      <c r="O53" s="294" t="str">
        <f t="shared" si="45"/>
        <v xml:space="preserve"> </v>
      </c>
      <c r="P53" s="314" t="str">
        <f t="shared" si="46"/>
        <v xml:space="preserve"> </v>
      </c>
      <c r="Q53" s="311" t="str">
        <f t="shared" si="47"/>
        <v xml:space="preserve"> </v>
      </c>
      <c r="R53" s="250"/>
      <c r="S53" s="151">
        <f t="shared" si="0"/>
        <v>0</v>
      </c>
      <c r="T53" s="298"/>
      <c r="U53" s="299"/>
      <c r="V53" s="152"/>
      <c r="W53" s="153" t="str">
        <f t="shared" si="31"/>
        <v xml:space="preserve"> </v>
      </c>
      <c r="X53" s="74" t="str">
        <f t="shared" si="32"/>
        <v xml:space="preserve"> </v>
      </c>
      <c r="Y53" s="74" t="str">
        <f t="shared" si="33"/>
        <v xml:space="preserve"> </v>
      </c>
      <c r="Z53" s="74" t="str">
        <f t="shared" si="34"/>
        <v xml:space="preserve"> </v>
      </c>
      <c r="AA53" s="74" t="str">
        <f t="shared" si="35"/>
        <v xml:space="preserve"> </v>
      </c>
      <c r="AB53" s="75" t="str">
        <f t="shared" si="36"/>
        <v xml:space="preserve"> </v>
      </c>
      <c r="AC53" s="76" t="str">
        <f t="shared" si="37"/>
        <v xml:space="preserve"> </v>
      </c>
      <c r="AD53" s="73">
        <f t="shared" si="48"/>
        <v>0</v>
      </c>
      <c r="AE53" s="73" t="str">
        <f t="shared" si="49"/>
        <v xml:space="preserve"> </v>
      </c>
      <c r="AF53" s="154" t="e">
        <f t="shared" si="50"/>
        <v>#DIV/0!</v>
      </c>
      <c r="AG53" s="208" t="str">
        <f t="shared" si="51"/>
        <v xml:space="preserve"> </v>
      </c>
      <c r="AH53" s="208" t="str">
        <f t="shared" si="52"/>
        <v xml:space="preserve"> </v>
      </c>
      <c r="AI53" s="209" t="str">
        <f t="shared" si="38"/>
        <v xml:space="preserve"> </v>
      </c>
      <c r="AJ53" s="209" t="str">
        <f t="shared" si="39"/>
        <v xml:space="preserve"> </v>
      </c>
      <c r="AK53" s="209" t="str">
        <f t="shared" si="40"/>
        <v xml:space="preserve"> </v>
      </c>
      <c r="AL53" s="209" t="str">
        <f t="shared" si="41"/>
        <v xml:space="preserve"> </v>
      </c>
      <c r="AM53" s="209" t="str">
        <f t="shared" si="42"/>
        <v xml:space="preserve"> </v>
      </c>
      <c r="AN53" s="209"/>
      <c r="AO53" s="77"/>
      <c r="AP53" s="151">
        <f t="shared" si="11"/>
        <v>0</v>
      </c>
      <c r="AQ53" s="298"/>
      <c r="AR53" s="302"/>
      <c r="AS53" s="152"/>
      <c r="AT53" s="244" t="str">
        <f t="shared" si="53"/>
        <v xml:space="preserve"> </v>
      </c>
      <c r="AU53" s="245" t="str">
        <f t="shared" si="44"/>
        <v xml:space="preserve"> </v>
      </c>
      <c r="AV53" s="245" t="str">
        <f t="shared" si="54"/>
        <v xml:space="preserve"> </v>
      </c>
      <c r="AW53" s="245" t="str">
        <f t="shared" si="55"/>
        <v xml:space="preserve"> </v>
      </c>
      <c r="AX53" s="245" t="str">
        <f t="shared" si="56"/>
        <v xml:space="preserve"> </v>
      </c>
      <c r="AY53" s="545" t="str">
        <f t="shared" si="57"/>
        <v xml:space="preserve"> </v>
      </c>
      <c r="AZ53" s="246" t="str">
        <f t="shared" si="58"/>
        <v xml:space="preserve"> </v>
      </c>
      <c r="BA53" s="73">
        <f t="shared" si="59"/>
        <v>0</v>
      </c>
      <c r="BB53" s="73" t="str">
        <f t="shared" si="60"/>
        <v xml:space="preserve"> </v>
      </c>
      <c r="BC53" s="210" t="str">
        <f t="shared" si="43"/>
        <v xml:space="preserve"> </v>
      </c>
      <c r="BD53" s="210" t="str">
        <f t="shared" si="61"/>
        <v xml:space="preserve"> </v>
      </c>
      <c r="BE53" s="157" t="str">
        <f t="shared" si="23"/>
        <v xml:space="preserve"> </v>
      </c>
      <c r="BF53" s="157" t="str">
        <f t="shared" si="24"/>
        <v xml:space="preserve"> </v>
      </c>
      <c r="BG53" s="157" t="str">
        <f t="shared" si="25"/>
        <v xml:space="preserve"> </v>
      </c>
      <c r="BH53" s="157" t="str">
        <f t="shared" si="26"/>
        <v xml:space="preserve"> </v>
      </c>
      <c r="BI53" s="211" t="str">
        <f t="shared" si="27"/>
        <v xml:space="preserve"> </v>
      </c>
      <c r="BJ53" s="248"/>
      <c r="BK53" s="248"/>
    </row>
    <row r="54" spans="1:63" ht="15.75" hidden="1" customHeight="1" outlineLevel="1" thickBot="1">
      <c r="A54" s="248"/>
      <c r="B54" s="248"/>
      <c r="C54" s="266" t="s">
        <v>269</v>
      </c>
      <c r="D54" s="278" t="s">
        <v>266</v>
      </c>
      <c r="E54" s="253"/>
      <c r="F54" s="276">
        <v>0.16</v>
      </c>
      <c r="G54" s="276">
        <v>0.8</v>
      </c>
      <c r="H54" s="277">
        <v>2.5</v>
      </c>
      <c r="I54" s="277">
        <v>0.2</v>
      </c>
      <c r="J54" s="277">
        <v>3.3</v>
      </c>
      <c r="K54" s="277">
        <v>0.8</v>
      </c>
      <c r="L54" s="277">
        <v>0</v>
      </c>
      <c r="M54" s="257"/>
      <c r="N54" s="291"/>
      <c r="O54" s="294" t="str">
        <f t="shared" si="45"/>
        <v xml:space="preserve"> </v>
      </c>
      <c r="P54" s="314" t="str">
        <f t="shared" si="46"/>
        <v xml:space="preserve"> </v>
      </c>
      <c r="Q54" s="311" t="str">
        <f t="shared" si="47"/>
        <v xml:space="preserve"> </v>
      </c>
      <c r="R54" s="250"/>
      <c r="S54" s="151">
        <f t="shared" si="0"/>
        <v>0</v>
      </c>
      <c r="T54" s="298"/>
      <c r="U54" s="299"/>
      <c r="V54" s="152"/>
      <c r="W54" s="153" t="str">
        <f t="shared" si="31"/>
        <v xml:space="preserve"> </v>
      </c>
      <c r="X54" s="74" t="str">
        <f t="shared" si="32"/>
        <v xml:space="preserve"> </v>
      </c>
      <c r="Y54" s="74" t="str">
        <f t="shared" si="33"/>
        <v xml:space="preserve"> </v>
      </c>
      <c r="Z54" s="74" t="str">
        <f t="shared" si="34"/>
        <v xml:space="preserve"> </v>
      </c>
      <c r="AA54" s="74" t="str">
        <f t="shared" si="35"/>
        <v xml:space="preserve"> </v>
      </c>
      <c r="AB54" s="75" t="str">
        <f t="shared" si="36"/>
        <v xml:space="preserve"> </v>
      </c>
      <c r="AC54" s="76" t="str">
        <f t="shared" si="37"/>
        <v xml:space="preserve"> </v>
      </c>
      <c r="AD54" s="73">
        <f t="shared" si="48"/>
        <v>0</v>
      </c>
      <c r="AE54" s="73" t="str">
        <f t="shared" si="49"/>
        <v xml:space="preserve"> </v>
      </c>
      <c r="AF54" s="154" t="e">
        <f t="shared" si="50"/>
        <v>#DIV/0!</v>
      </c>
      <c r="AG54" s="208" t="str">
        <f t="shared" si="51"/>
        <v xml:space="preserve"> </v>
      </c>
      <c r="AH54" s="208" t="str">
        <f t="shared" si="52"/>
        <v xml:space="preserve"> </v>
      </c>
      <c r="AI54" s="209" t="str">
        <f t="shared" si="38"/>
        <v xml:space="preserve"> </v>
      </c>
      <c r="AJ54" s="209" t="str">
        <f t="shared" si="39"/>
        <v xml:space="preserve"> </v>
      </c>
      <c r="AK54" s="209" t="str">
        <f t="shared" si="40"/>
        <v xml:space="preserve"> </v>
      </c>
      <c r="AL54" s="209" t="str">
        <f t="shared" si="41"/>
        <v xml:space="preserve"> </v>
      </c>
      <c r="AM54" s="209" t="str">
        <f t="shared" si="42"/>
        <v xml:space="preserve"> </v>
      </c>
      <c r="AN54" s="209"/>
      <c r="AO54" s="77"/>
      <c r="AP54" s="151">
        <f t="shared" si="11"/>
        <v>0</v>
      </c>
      <c r="AQ54" s="298"/>
      <c r="AR54" s="302"/>
      <c r="AS54" s="152"/>
      <c r="AT54" s="244" t="str">
        <f t="shared" si="53"/>
        <v xml:space="preserve"> </v>
      </c>
      <c r="AU54" s="245" t="str">
        <f t="shared" si="44"/>
        <v xml:space="preserve"> </v>
      </c>
      <c r="AV54" s="245" t="str">
        <f t="shared" si="54"/>
        <v xml:space="preserve"> </v>
      </c>
      <c r="AW54" s="245" t="str">
        <f t="shared" si="55"/>
        <v xml:space="preserve"> </v>
      </c>
      <c r="AX54" s="245" t="str">
        <f t="shared" si="56"/>
        <v xml:space="preserve"> </v>
      </c>
      <c r="AY54" s="545" t="str">
        <f t="shared" si="57"/>
        <v xml:space="preserve"> </v>
      </c>
      <c r="AZ54" s="246" t="str">
        <f t="shared" si="58"/>
        <v xml:space="preserve"> </v>
      </c>
      <c r="BA54" s="73">
        <f t="shared" si="59"/>
        <v>0</v>
      </c>
      <c r="BB54" s="73" t="str">
        <f t="shared" si="60"/>
        <v xml:space="preserve"> </v>
      </c>
      <c r="BC54" s="210" t="str">
        <f t="shared" si="43"/>
        <v xml:space="preserve"> </v>
      </c>
      <c r="BD54" s="210" t="str">
        <f t="shared" si="61"/>
        <v xml:space="preserve"> </v>
      </c>
      <c r="BE54" s="157" t="str">
        <f t="shared" si="23"/>
        <v xml:space="preserve"> </v>
      </c>
      <c r="BF54" s="157" t="str">
        <f t="shared" si="24"/>
        <v xml:space="preserve"> </v>
      </c>
      <c r="BG54" s="157" t="str">
        <f t="shared" si="25"/>
        <v xml:space="preserve"> </v>
      </c>
      <c r="BH54" s="157" t="str">
        <f t="shared" si="26"/>
        <v xml:space="preserve"> </v>
      </c>
      <c r="BI54" s="211" t="str">
        <f t="shared" si="27"/>
        <v xml:space="preserve"> </v>
      </c>
      <c r="BJ54" s="248"/>
      <c r="BK54" s="248"/>
    </row>
    <row r="55" spans="1:63" ht="12.75" hidden="1" customHeight="1" outlineLevel="1" thickBot="1">
      <c r="A55" s="248"/>
      <c r="B55" s="248"/>
      <c r="C55" s="266" t="s">
        <v>264</v>
      </c>
      <c r="D55" s="253" t="s">
        <v>265</v>
      </c>
      <c r="E55" s="253"/>
      <c r="F55" s="276">
        <v>0.23</v>
      </c>
      <c r="G55" s="276">
        <v>0.9</v>
      </c>
      <c r="H55" s="277">
        <v>1.8</v>
      </c>
      <c r="I55" s="277">
        <v>0.4</v>
      </c>
      <c r="J55" s="277">
        <v>2.1</v>
      </c>
      <c r="K55" s="277">
        <v>0.5</v>
      </c>
      <c r="L55" s="277">
        <v>0</v>
      </c>
      <c r="M55" s="257">
        <v>360</v>
      </c>
      <c r="N55" s="291">
        <v>0.51</v>
      </c>
      <c r="O55" s="294" t="str">
        <f t="shared" si="45"/>
        <v xml:space="preserve"> </v>
      </c>
      <c r="P55" s="314" t="str">
        <f t="shared" si="46"/>
        <v xml:space="preserve"> </v>
      </c>
      <c r="Q55" s="311" t="str">
        <f t="shared" si="47"/>
        <v xml:space="preserve"> </v>
      </c>
      <c r="R55" s="250"/>
      <c r="S55" s="151">
        <f t="shared" si="0"/>
        <v>0</v>
      </c>
      <c r="T55" s="298"/>
      <c r="U55" s="299"/>
      <c r="V55" s="152"/>
      <c r="W55" s="153" t="str">
        <f t="shared" si="31"/>
        <v xml:space="preserve"> </v>
      </c>
      <c r="X55" s="74" t="str">
        <f t="shared" si="32"/>
        <v xml:space="preserve"> </v>
      </c>
      <c r="Y55" s="74" t="str">
        <f t="shared" si="33"/>
        <v xml:space="preserve"> </v>
      </c>
      <c r="Z55" s="74" t="str">
        <f t="shared" si="34"/>
        <v xml:space="preserve"> </v>
      </c>
      <c r="AA55" s="74" t="str">
        <f t="shared" si="35"/>
        <v xml:space="preserve"> </v>
      </c>
      <c r="AB55" s="75" t="str">
        <f t="shared" si="36"/>
        <v xml:space="preserve"> </v>
      </c>
      <c r="AC55" s="76" t="str">
        <f t="shared" si="37"/>
        <v xml:space="preserve"> </v>
      </c>
      <c r="AD55" s="73">
        <f t="shared" si="48"/>
        <v>0</v>
      </c>
      <c r="AE55" s="73" t="str">
        <f t="shared" si="49"/>
        <v xml:space="preserve"> </v>
      </c>
      <c r="AF55" s="154">
        <f t="shared" si="50"/>
        <v>0.84289915966386542</v>
      </c>
      <c r="AG55" s="208" t="str">
        <f t="shared" si="51"/>
        <v xml:space="preserve"> </v>
      </c>
      <c r="AH55" s="208" t="str">
        <f t="shared" si="52"/>
        <v xml:space="preserve"> </v>
      </c>
      <c r="AI55" s="209" t="str">
        <f t="shared" si="38"/>
        <v xml:space="preserve"> </v>
      </c>
      <c r="AJ55" s="209" t="str">
        <f t="shared" si="39"/>
        <v xml:space="preserve"> </v>
      </c>
      <c r="AK55" s="209" t="str">
        <f t="shared" si="40"/>
        <v xml:space="preserve"> </v>
      </c>
      <c r="AL55" s="209" t="str">
        <f t="shared" si="41"/>
        <v xml:space="preserve"> </v>
      </c>
      <c r="AM55" s="209" t="str">
        <f t="shared" si="42"/>
        <v xml:space="preserve"> </v>
      </c>
      <c r="AN55" s="209"/>
      <c r="AO55" s="77"/>
      <c r="AP55" s="151">
        <f t="shared" si="11"/>
        <v>0</v>
      </c>
      <c r="AQ55" s="298"/>
      <c r="AR55" s="302"/>
      <c r="AS55" s="152"/>
      <c r="AT55" s="244" t="str">
        <f t="shared" si="53"/>
        <v xml:space="preserve"> </v>
      </c>
      <c r="AU55" s="245" t="str">
        <f t="shared" si="44"/>
        <v xml:space="preserve"> </v>
      </c>
      <c r="AV55" s="245" t="str">
        <f t="shared" si="54"/>
        <v xml:space="preserve"> </v>
      </c>
      <c r="AW55" s="245" t="str">
        <f t="shared" si="55"/>
        <v xml:space="preserve"> </v>
      </c>
      <c r="AX55" s="245" t="str">
        <f t="shared" si="56"/>
        <v xml:space="preserve"> </v>
      </c>
      <c r="AY55" s="545" t="str">
        <f t="shared" si="57"/>
        <v xml:space="preserve"> </v>
      </c>
      <c r="AZ55" s="246" t="str">
        <f t="shared" si="58"/>
        <v xml:space="preserve"> </v>
      </c>
      <c r="BA55" s="73">
        <f t="shared" si="59"/>
        <v>0</v>
      </c>
      <c r="BB55" s="73" t="str">
        <f t="shared" si="60"/>
        <v xml:space="preserve"> </v>
      </c>
      <c r="BC55" s="210" t="str">
        <f t="shared" si="43"/>
        <v xml:space="preserve"> </v>
      </c>
      <c r="BD55" s="210" t="str">
        <f t="shared" si="61"/>
        <v xml:space="preserve"> </v>
      </c>
      <c r="BE55" s="157" t="str">
        <f t="shared" si="23"/>
        <v xml:space="preserve"> </v>
      </c>
      <c r="BF55" s="157" t="str">
        <f t="shared" si="24"/>
        <v xml:space="preserve"> </v>
      </c>
      <c r="BG55" s="157" t="str">
        <f t="shared" si="25"/>
        <v xml:space="preserve"> </v>
      </c>
      <c r="BH55" s="157" t="str">
        <f t="shared" si="26"/>
        <v xml:space="preserve"> </v>
      </c>
      <c r="BI55" s="211" t="str">
        <f t="shared" si="27"/>
        <v xml:space="preserve"> </v>
      </c>
      <c r="BJ55" s="248"/>
      <c r="BK55" s="248"/>
    </row>
    <row r="56" spans="1:63" ht="15.75" hidden="1" customHeight="1" outlineLevel="1" thickBot="1">
      <c r="A56" s="248"/>
      <c r="B56" s="248"/>
      <c r="C56" s="266" t="s">
        <v>269</v>
      </c>
      <c r="D56" s="253" t="s">
        <v>265</v>
      </c>
      <c r="E56" s="253"/>
      <c r="F56" s="276">
        <v>0.15</v>
      </c>
      <c r="G56" s="276">
        <v>0.9</v>
      </c>
      <c r="H56" s="277">
        <v>1.4</v>
      </c>
      <c r="I56" s="277">
        <v>0.3</v>
      </c>
      <c r="J56" s="277">
        <v>3.7</v>
      </c>
      <c r="K56" s="277">
        <v>0.3</v>
      </c>
      <c r="L56" s="277">
        <v>0</v>
      </c>
      <c r="M56" s="257">
        <v>360</v>
      </c>
      <c r="N56" s="291">
        <v>0.52</v>
      </c>
      <c r="O56" s="294" t="str">
        <f t="shared" si="45"/>
        <v xml:space="preserve"> </v>
      </c>
      <c r="P56" s="314" t="str">
        <f t="shared" si="46"/>
        <v xml:space="preserve"> </v>
      </c>
      <c r="Q56" s="311" t="str">
        <f t="shared" si="47"/>
        <v xml:space="preserve"> </v>
      </c>
      <c r="R56" s="250"/>
      <c r="S56" s="151">
        <f t="shared" si="0"/>
        <v>0</v>
      </c>
      <c r="T56" s="298"/>
      <c r="U56" s="299"/>
      <c r="V56" s="152"/>
      <c r="W56" s="153" t="str">
        <f t="shared" si="31"/>
        <v xml:space="preserve"> </v>
      </c>
      <c r="X56" s="74" t="str">
        <f t="shared" si="32"/>
        <v xml:space="preserve"> </v>
      </c>
      <c r="Y56" s="74" t="str">
        <f t="shared" si="33"/>
        <v xml:space="preserve"> </v>
      </c>
      <c r="Z56" s="74" t="str">
        <f t="shared" si="34"/>
        <v xml:space="preserve"> </v>
      </c>
      <c r="AA56" s="74" t="str">
        <f t="shared" si="35"/>
        <v xml:space="preserve"> </v>
      </c>
      <c r="AB56" s="75" t="str">
        <f t="shared" si="36"/>
        <v xml:space="preserve"> </v>
      </c>
      <c r="AC56" s="76" t="str">
        <f t="shared" si="37"/>
        <v xml:space="preserve"> </v>
      </c>
      <c r="AD56" s="73">
        <f t="shared" si="48"/>
        <v>0</v>
      </c>
      <c r="AE56" s="73" t="str">
        <f t="shared" si="49"/>
        <v xml:space="preserve"> </v>
      </c>
      <c r="AF56" s="154">
        <f t="shared" si="50"/>
        <v>0.81890109890109886</v>
      </c>
      <c r="AG56" s="208" t="str">
        <f t="shared" si="51"/>
        <v xml:space="preserve"> </v>
      </c>
      <c r="AH56" s="208" t="str">
        <f t="shared" si="52"/>
        <v xml:space="preserve"> </v>
      </c>
      <c r="AI56" s="209" t="str">
        <f t="shared" si="38"/>
        <v xml:space="preserve"> </v>
      </c>
      <c r="AJ56" s="209" t="str">
        <f t="shared" si="39"/>
        <v xml:space="preserve"> </v>
      </c>
      <c r="AK56" s="209" t="str">
        <f t="shared" si="40"/>
        <v xml:space="preserve"> </v>
      </c>
      <c r="AL56" s="209" t="str">
        <f t="shared" si="41"/>
        <v xml:space="preserve"> </v>
      </c>
      <c r="AM56" s="209" t="str">
        <f t="shared" si="42"/>
        <v xml:space="preserve"> </v>
      </c>
      <c r="AN56" s="209"/>
      <c r="AO56" s="77"/>
      <c r="AP56" s="151">
        <f t="shared" si="11"/>
        <v>0</v>
      </c>
      <c r="AQ56" s="298"/>
      <c r="AR56" s="302"/>
      <c r="AS56" s="152"/>
      <c r="AT56" s="244" t="str">
        <f t="shared" si="53"/>
        <v xml:space="preserve"> </v>
      </c>
      <c r="AU56" s="245" t="str">
        <f t="shared" si="44"/>
        <v xml:space="preserve"> </v>
      </c>
      <c r="AV56" s="245" t="str">
        <f t="shared" si="54"/>
        <v xml:space="preserve"> </v>
      </c>
      <c r="AW56" s="245" t="str">
        <f t="shared" si="55"/>
        <v xml:space="preserve"> </v>
      </c>
      <c r="AX56" s="245" t="str">
        <f t="shared" si="56"/>
        <v xml:space="preserve"> </v>
      </c>
      <c r="AY56" s="545" t="str">
        <f t="shared" si="57"/>
        <v xml:space="preserve"> </v>
      </c>
      <c r="AZ56" s="246" t="str">
        <f t="shared" si="58"/>
        <v xml:space="preserve"> </v>
      </c>
      <c r="BA56" s="73">
        <f t="shared" si="59"/>
        <v>0</v>
      </c>
      <c r="BB56" s="73" t="str">
        <f t="shared" si="60"/>
        <v xml:space="preserve"> </v>
      </c>
      <c r="BC56" s="210" t="str">
        <f t="shared" si="43"/>
        <v xml:space="preserve"> </v>
      </c>
      <c r="BD56" s="210" t="str">
        <f t="shared" si="61"/>
        <v xml:space="preserve"> </v>
      </c>
      <c r="BE56" s="157" t="str">
        <f t="shared" si="23"/>
        <v xml:space="preserve"> </v>
      </c>
      <c r="BF56" s="157" t="str">
        <f t="shared" si="24"/>
        <v xml:space="preserve"> </v>
      </c>
      <c r="BG56" s="157" t="str">
        <f t="shared" si="25"/>
        <v xml:space="preserve"> </v>
      </c>
      <c r="BH56" s="157" t="str">
        <f t="shared" si="26"/>
        <v xml:space="preserve"> </v>
      </c>
      <c r="BI56" s="211" t="str">
        <f t="shared" si="27"/>
        <v xml:space="preserve"> </v>
      </c>
      <c r="BJ56" s="248"/>
      <c r="BK56" s="248"/>
    </row>
    <row r="57" spans="1:63" ht="12.75" hidden="1" customHeight="1" outlineLevel="1" thickBot="1">
      <c r="A57" s="248"/>
      <c r="B57" s="248"/>
      <c r="C57" s="266"/>
      <c r="D57" s="253"/>
      <c r="E57" s="253"/>
      <c r="F57" s="276"/>
      <c r="G57" s="276"/>
      <c r="H57" s="277"/>
      <c r="I57" s="277"/>
      <c r="J57" s="277"/>
      <c r="K57" s="277"/>
      <c r="L57" s="277"/>
      <c r="M57" s="257"/>
      <c r="N57" s="291"/>
      <c r="O57" s="294" t="str">
        <f t="shared" si="45"/>
        <v xml:space="preserve"> </v>
      </c>
      <c r="P57" s="314" t="str">
        <f t="shared" si="46"/>
        <v xml:space="preserve"> </v>
      </c>
      <c r="Q57" s="311" t="str">
        <f t="shared" si="47"/>
        <v xml:space="preserve"> </v>
      </c>
      <c r="R57" s="250"/>
      <c r="S57" s="151">
        <f t="shared" si="0"/>
        <v>0</v>
      </c>
      <c r="T57" s="298"/>
      <c r="U57" s="299"/>
      <c r="V57" s="152"/>
      <c r="W57" s="153" t="str">
        <f t="shared" si="31"/>
        <v xml:space="preserve"> </v>
      </c>
      <c r="X57" s="74" t="str">
        <f t="shared" si="32"/>
        <v xml:space="preserve"> </v>
      </c>
      <c r="Y57" s="74" t="str">
        <f t="shared" si="33"/>
        <v xml:space="preserve"> </v>
      </c>
      <c r="Z57" s="74" t="str">
        <f t="shared" si="34"/>
        <v xml:space="preserve"> </v>
      </c>
      <c r="AA57" s="74" t="str">
        <f t="shared" si="35"/>
        <v xml:space="preserve"> </v>
      </c>
      <c r="AB57" s="75" t="str">
        <f t="shared" si="36"/>
        <v xml:space="preserve"> </v>
      </c>
      <c r="AC57" s="76" t="str">
        <f t="shared" si="37"/>
        <v xml:space="preserve"> </v>
      </c>
      <c r="AD57" s="73">
        <f t="shared" si="48"/>
        <v>0</v>
      </c>
      <c r="AE57" s="73" t="str">
        <f t="shared" si="49"/>
        <v xml:space="preserve"> </v>
      </c>
      <c r="AF57" s="154" t="e">
        <f t="shared" si="50"/>
        <v>#DIV/0!</v>
      </c>
      <c r="AG57" s="208" t="str">
        <f t="shared" si="51"/>
        <v xml:space="preserve"> </v>
      </c>
      <c r="AH57" s="208" t="str">
        <f t="shared" si="52"/>
        <v xml:space="preserve"> </v>
      </c>
      <c r="AI57" s="209" t="str">
        <f t="shared" si="38"/>
        <v xml:space="preserve"> </v>
      </c>
      <c r="AJ57" s="209" t="str">
        <f t="shared" si="39"/>
        <v xml:space="preserve"> </v>
      </c>
      <c r="AK57" s="209" t="str">
        <f t="shared" si="40"/>
        <v xml:space="preserve"> </v>
      </c>
      <c r="AL57" s="209" t="str">
        <f t="shared" si="41"/>
        <v xml:space="preserve"> </v>
      </c>
      <c r="AM57" s="209" t="str">
        <f t="shared" si="42"/>
        <v xml:space="preserve"> </v>
      </c>
      <c r="AN57" s="209"/>
      <c r="AO57" s="77"/>
      <c r="AP57" s="151">
        <f t="shared" si="11"/>
        <v>0</v>
      </c>
      <c r="AQ57" s="298"/>
      <c r="AR57" s="302"/>
      <c r="AS57" s="152"/>
      <c r="AT57" s="244" t="str">
        <f t="shared" si="53"/>
        <v xml:space="preserve"> </v>
      </c>
      <c r="AU57" s="245" t="str">
        <f t="shared" si="44"/>
        <v xml:space="preserve"> </v>
      </c>
      <c r="AV57" s="245" t="str">
        <f t="shared" si="54"/>
        <v xml:space="preserve"> </v>
      </c>
      <c r="AW57" s="245" t="str">
        <f t="shared" si="55"/>
        <v xml:space="preserve"> </v>
      </c>
      <c r="AX57" s="245" t="str">
        <f t="shared" si="56"/>
        <v xml:space="preserve"> </v>
      </c>
      <c r="AY57" s="545" t="str">
        <f t="shared" si="57"/>
        <v xml:space="preserve"> </v>
      </c>
      <c r="AZ57" s="246" t="str">
        <f t="shared" si="58"/>
        <v xml:space="preserve"> </v>
      </c>
      <c r="BA57" s="73">
        <f t="shared" si="59"/>
        <v>0</v>
      </c>
      <c r="BB57" s="73" t="str">
        <f t="shared" si="60"/>
        <v xml:space="preserve"> </v>
      </c>
      <c r="BC57" s="210" t="str">
        <f t="shared" si="43"/>
        <v xml:space="preserve"> </v>
      </c>
      <c r="BD57" s="210" t="str">
        <f t="shared" si="61"/>
        <v xml:space="preserve"> </v>
      </c>
      <c r="BE57" s="157" t="str">
        <f t="shared" si="23"/>
        <v xml:space="preserve"> </v>
      </c>
      <c r="BF57" s="157" t="str">
        <f t="shared" si="24"/>
        <v xml:space="preserve"> </v>
      </c>
      <c r="BG57" s="157" t="str">
        <f t="shared" si="25"/>
        <v xml:space="preserve"> </v>
      </c>
      <c r="BH57" s="157" t="str">
        <f t="shared" si="26"/>
        <v xml:space="preserve"> </v>
      </c>
      <c r="BI57" s="211" t="str">
        <f t="shared" si="27"/>
        <v xml:space="preserve"> </v>
      </c>
      <c r="BJ57" s="248"/>
      <c r="BK57" s="248"/>
    </row>
    <row r="58" spans="1:63" ht="15.75" hidden="1" customHeight="1" outlineLevel="1" thickBot="1">
      <c r="A58" s="248"/>
      <c r="B58" s="248"/>
      <c r="C58" s="266"/>
      <c r="D58" s="253"/>
      <c r="E58" s="253"/>
      <c r="F58" s="276"/>
      <c r="G58" s="276"/>
      <c r="H58" s="277"/>
      <c r="I58" s="277"/>
      <c r="J58" s="277"/>
      <c r="K58" s="277"/>
      <c r="L58" s="277"/>
      <c r="M58" s="257"/>
      <c r="N58" s="291"/>
      <c r="O58" s="294" t="str">
        <f t="shared" si="45"/>
        <v xml:space="preserve"> </v>
      </c>
      <c r="P58" s="314" t="str">
        <f t="shared" si="46"/>
        <v xml:space="preserve"> </v>
      </c>
      <c r="Q58" s="311" t="str">
        <f t="shared" si="47"/>
        <v xml:space="preserve"> </v>
      </c>
      <c r="R58" s="250"/>
      <c r="S58" s="151">
        <f t="shared" si="0"/>
        <v>0</v>
      </c>
      <c r="T58" s="459"/>
      <c r="U58" s="460"/>
      <c r="V58" s="152"/>
      <c r="W58" s="153" t="str">
        <f t="shared" si="31"/>
        <v xml:space="preserve"> </v>
      </c>
      <c r="X58" s="74" t="str">
        <f t="shared" si="32"/>
        <v xml:space="preserve"> </v>
      </c>
      <c r="Y58" s="74" t="str">
        <f t="shared" si="33"/>
        <v xml:space="preserve"> </v>
      </c>
      <c r="Z58" s="74" t="str">
        <f t="shared" si="34"/>
        <v xml:space="preserve"> </v>
      </c>
      <c r="AA58" s="74" t="str">
        <f t="shared" si="35"/>
        <v xml:space="preserve"> </v>
      </c>
      <c r="AB58" s="75" t="str">
        <f t="shared" si="36"/>
        <v xml:space="preserve"> </v>
      </c>
      <c r="AC58" s="76" t="str">
        <f t="shared" si="37"/>
        <v xml:space="preserve"> </v>
      </c>
      <c r="AD58" s="73">
        <f t="shared" si="48"/>
        <v>0</v>
      </c>
      <c r="AE58" s="73" t="str">
        <f t="shared" si="49"/>
        <v xml:space="preserve"> </v>
      </c>
      <c r="AF58" s="154" t="e">
        <f t="shared" si="50"/>
        <v>#DIV/0!</v>
      </c>
      <c r="AG58" s="208" t="str">
        <f t="shared" si="51"/>
        <v xml:space="preserve"> </v>
      </c>
      <c r="AH58" s="208" t="str">
        <f t="shared" si="52"/>
        <v xml:space="preserve"> </v>
      </c>
      <c r="AI58" s="209" t="str">
        <f t="shared" si="38"/>
        <v xml:space="preserve"> </v>
      </c>
      <c r="AJ58" s="209" t="str">
        <f t="shared" si="39"/>
        <v xml:space="preserve"> </v>
      </c>
      <c r="AK58" s="209" t="str">
        <f t="shared" si="40"/>
        <v xml:space="preserve"> </v>
      </c>
      <c r="AL58" s="209" t="str">
        <f t="shared" si="41"/>
        <v xml:space="preserve"> </v>
      </c>
      <c r="AM58" s="209" t="str">
        <f t="shared" si="42"/>
        <v xml:space="preserve"> </v>
      </c>
      <c r="AN58" s="209"/>
      <c r="AO58" s="77"/>
      <c r="AP58" s="151">
        <f t="shared" si="11"/>
        <v>0</v>
      </c>
      <c r="AQ58" s="459"/>
      <c r="AR58" s="469"/>
      <c r="AS58" s="152"/>
      <c r="AT58" s="244" t="str">
        <f t="shared" si="53"/>
        <v xml:space="preserve"> </v>
      </c>
      <c r="AU58" s="245" t="str">
        <f t="shared" si="44"/>
        <v xml:space="preserve"> </v>
      </c>
      <c r="AV58" s="245" t="str">
        <f t="shared" si="54"/>
        <v xml:space="preserve"> </v>
      </c>
      <c r="AW58" s="245" t="str">
        <f t="shared" si="55"/>
        <v xml:space="preserve"> </v>
      </c>
      <c r="AX58" s="245" t="str">
        <f t="shared" si="56"/>
        <v xml:space="preserve"> </v>
      </c>
      <c r="AY58" s="545" t="str">
        <f t="shared" si="57"/>
        <v xml:space="preserve"> </v>
      </c>
      <c r="AZ58" s="246" t="str">
        <f t="shared" si="58"/>
        <v xml:space="preserve"> </v>
      </c>
      <c r="BA58" s="73">
        <f t="shared" si="59"/>
        <v>0</v>
      </c>
      <c r="BB58" s="73" t="str">
        <f t="shared" si="60"/>
        <v xml:space="preserve"> </v>
      </c>
      <c r="BC58" s="210" t="str">
        <f t="shared" si="43"/>
        <v xml:space="preserve"> </v>
      </c>
      <c r="BD58" s="210" t="str">
        <f t="shared" si="61"/>
        <v xml:space="preserve"> </v>
      </c>
      <c r="BE58" s="157" t="str">
        <f t="shared" si="23"/>
        <v xml:space="preserve"> </v>
      </c>
      <c r="BF58" s="157" t="str">
        <f t="shared" si="24"/>
        <v xml:space="preserve"> </v>
      </c>
      <c r="BG58" s="157" t="str">
        <f t="shared" si="25"/>
        <v xml:space="preserve"> </v>
      </c>
      <c r="BH58" s="157" t="str">
        <f t="shared" si="26"/>
        <v xml:space="preserve"> </v>
      </c>
      <c r="BI58" s="211" t="str">
        <f t="shared" si="27"/>
        <v xml:space="preserve"> </v>
      </c>
      <c r="BJ58" s="248"/>
      <c r="BK58" s="248"/>
    </row>
    <row r="59" spans="1:63" ht="12.75" customHeight="1" collapsed="1" thickBot="1">
      <c r="A59" s="248"/>
      <c r="B59" s="248"/>
      <c r="C59" s="267" t="s">
        <v>271</v>
      </c>
      <c r="D59" s="399" t="s">
        <v>16</v>
      </c>
      <c r="E59" s="399"/>
      <c r="F59" s="254">
        <v>0.32</v>
      </c>
      <c r="G59" s="254">
        <v>0.95</v>
      </c>
      <c r="H59" s="255">
        <v>4.3</v>
      </c>
      <c r="I59" s="255">
        <v>0.8</v>
      </c>
      <c r="J59" s="255">
        <v>4.2</v>
      </c>
      <c r="K59" s="255">
        <v>0.8</v>
      </c>
      <c r="L59" s="255">
        <v>0</v>
      </c>
      <c r="M59" s="400">
        <v>340</v>
      </c>
      <c r="N59" s="401">
        <v>0.52</v>
      </c>
      <c r="O59" s="294">
        <f t="shared" si="45"/>
        <v>23.287671232876711</v>
      </c>
      <c r="P59" s="314">
        <f t="shared" si="46"/>
        <v>0.32</v>
      </c>
      <c r="Q59" s="311" t="str">
        <f t="shared" si="47"/>
        <v xml:space="preserve"> </v>
      </c>
      <c r="R59" s="250"/>
      <c r="S59" s="458">
        <f t="shared" si="0"/>
        <v>23.287671232876711</v>
      </c>
      <c r="T59" s="463">
        <v>8500</v>
      </c>
      <c r="U59" s="464">
        <v>0.32</v>
      </c>
      <c r="V59" s="152"/>
      <c r="W59" s="153">
        <f t="shared" si="31"/>
        <v>0.95</v>
      </c>
      <c r="X59" s="74">
        <f t="shared" si="32"/>
        <v>4.3</v>
      </c>
      <c r="Y59" s="74">
        <f t="shared" si="33"/>
        <v>0.8</v>
      </c>
      <c r="Z59" s="74">
        <f t="shared" si="34"/>
        <v>4.2</v>
      </c>
      <c r="AA59" s="74">
        <f t="shared" si="35"/>
        <v>0.8</v>
      </c>
      <c r="AB59" s="75">
        <f t="shared" si="36"/>
        <v>340</v>
      </c>
      <c r="AC59" s="76">
        <f t="shared" si="37"/>
        <v>0.52</v>
      </c>
      <c r="AD59" s="73">
        <f t="shared" si="48"/>
        <v>7.4520547945205475</v>
      </c>
      <c r="AE59" s="73">
        <f t="shared" si="49"/>
        <v>7.0794520547945199</v>
      </c>
      <c r="AF59" s="154">
        <f t="shared" si="50"/>
        <v>0.8163736263736262</v>
      </c>
      <c r="AG59" s="208">
        <f t="shared" si="51"/>
        <v>2407.0136986301368</v>
      </c>
      <c r="AH59" s="208">
        <f t="shared" si="52"/>
        <v>4628.8724973656472</v>
      </c>
      <c r="AI59" s="209">
        <f t="shared" si="38"/>
        <v>100.13698630136986</v>
      </c>
      <c r="AJ59" s="209">
        <f t="shared" si="39"/>
        <v>18.63013698630137</v>
      </c>
      <c r="AK59" s="209">
        <f t="shared" si="40"/>
        <v>97.808219178082197</v>
      </c>
      <c r="AL59" s="209">
        <f t="shared" si="41"/>
        <v>18.63013698630137</v>
      </c>
      <c r="AM59" s="209">
        <f t="shared" si="42"/>
        <v>0</v>
      </c>
      <c r="AN59" s="209"/>
      <c r="AO59" s="77"/>
      <c r="AP59" s="458">
        <f t="shared" si="11"/>
        <v>38.082191780821915</v>
      </c>
      <c r="AQ59" s="463">
        <v>13900</v>
      </c>
      <c r="AR59" s="464">
        <v>0.32</v>
      </c>
      <c r="AS59" s="152"/>
      <c r="AT59" s="244">
        <f t="shared" ref="AT59:AT68" si="62">IF(AP59&gt;0,G59," ")</f>
        <v>0.95</v>
      </c>
      <c r="AU59" s="245">
        <f t="shared" si="44"/>
        <v>4.3</v>
      </c>
      <c r="AV59" s="245">
        <f t="shared" ref="AV59:AV68" si="63">IF(AP59&gt;0,I59*$AR59/$F59," ")</f>
        <v>0.8</v>
      </c>
      <c r="AW59" s="245">
        <f t="shared" ref="AW59:AW68" si="64">IF(AP59&gt;0,J59*$AR59/$F59," ")</f>
        <v>4.2</v>
      </c>
      <c r="AX59" s="245">
        <f t="shared" ref="AX59:AX68" si="65">IF(AP59&gt;0,K59*$AR59/$F59," ")</f>
        <v>0.8</v>
      </c>
      <c r="AY59" s="545">
        <f t="shared" ref="AY59:AY68" si="66">IF(AP59&gt;0,M59," ")</f>
        <v>340</v>
      </c>
      <c r="AZ59" s="246">
        <f t="shared" ref="AZ59:AZ68" si="67">IF(AP59&gt;0,N59," ")</f>
        <v>0.52</v>
      </c>
      <c r="BA59" s="73">
        <f t="shared" si="59"/>
        <v>12.186301369863013</v>
      </c>
      <c r="BB59" s="73">
        <f t="shared" si="60"/>
        <v>11.576986301369862</v>
      </c>
      <c r="BC59" s="210">
        <f t="shared" si="43"/>
        <v>3936.1753424657527</v>
      </c>
      <c r="BD59" s="210">
        <f t="shared" si="61"/>
        <v>7569.5679662802931</v>
      </c>
      <c r="BE59" s="157">
        <f t="shared" si="23"/>
        <v>163.75342465753423</v>
      </c>
      <c r="BF59" s="157">
        <f t="shared" si="24"/>
        <v>30.465753424657535</v>
      </c>
      <c r="BG59" s="157">
        <f t="shared" si="25"/>
        <v>159.94520547945206</v>
      </c>
      <c r="BH59" s="157">
        <f t="shared" si="26"/>
        <v>30.465753424657535</v>
      </c>
      <c r="BI59" s="211">
        <f t="shared" si="27"/>
        <v>0</v>
      </c>
      <c r="BJ59" s="248"/>
      <c r="BK59" s="248"/>
    </row>
    <row r="60" spans="1:63" ht="12.75" customHeight="1" thickBot="1">
      <c r="A60" s="248"/>
      <c r="B60" s="248"/>
      <c r="C60" s="267" t="s">
        <v>272</v>
      </c>
      <c r="D60" s="399" t="s">
        <v>17</v>
      </c>
      <c r="E60" s="399"/>
      <c r="F60" s="254">
        <v>0.2</v>
      </c>
      <c r="G60" s="254">
        <v>0.9</v>
      </c>
      <c r="H60" s="255">
        <v>4.8</v>
      </c>
      <c r="I60" s="255">
        <v>0.7</v>
      </c>
      <c r="J60" s="255">
        <v>5.4</v>
      </c>
      <c r="K60" s="255">
        <v>0.5</v>
      </c>
      <c r="L60" s="255">
        <v>0</v>
      </c>
      <c r="M60" s="400">
        <v>320</v>
      </c>
      <c r="N60" s="401">
        <v>0.53</v>
      </c>
      <c r="O60" s="294"/>
      <c r="P60" s="314"/>
      <c r="Q60" s="311" t="str">
        <f t="shared" si="47"/>
        <v xml:space="preserve"> </v>
      </c>
      <c r="R60" s="250"/>
      <c r="S60" s="458">
        <f t="shared" si="0"/>
        <v>0</v>
      </c>
      <c r="T60" s="465"/>
      <c r="U60" s="466"/>
      <c r="V60" s="152"/>
      <c r="W60" s="153" t="str">
        <f t="shared" si="31"/>
        <v xml:space="preserve"> </v>
      </c>
      <c r="X60" s="74" t="str">
        <f t="shared" si="32"/>
        <v xml:space="preserve"> </v>
      </c>
      <c r="Y60" s="74" t="str">
        <f t="shared" si="33"/>
        <v xml:space="preserve"> </v>
      </c>
      <c r="Z60" s="74" t="str">
        <f t="shared" si="34"/>
        <v xml:space="preserve"> </v>
      </c>
      <c r="AA60" s="74" t="str">
        <f t="shared" si="35"/>
        <v xml:space="preserve"> </v>
      </c>
      <c r="AB60" s="75" t="str">
        <f t="shared" si="36"/>
        <v xml:space="preserve"> </v>
      </c>
      <c r="AC60" s="76" t="str">
        <f t="shared" si="37"/>
        <v xml:space="preserve"> </v>
      </c>
      <c r="AD60" s="73">
        <f t="shared" si="48"/>
        <v>0</v>
      </c>
      <c r="AE60" s="73" t="str">
        <f t="shared" si="49"/>
        <v xml:space="preserve"> </v>
      </c>
      <c r="AF60" s="154">
        <f t="shared" si="50"/>
        <v>0.70738544474393517</v>
      </c>
      <c r="AG60" s="208" t="str">
        <f t="shared" si="51"/>
        <v xml:space="preserve"> </v>
      </c>
      <c r="AH60" s="208" t="str">
        <f t="shared" si="52"/>
        <v xml:space="preserve"> </v>
      </c>
      <c r="AI60" s="209" t="str">
        <f t="shared" si="38"/>
        <v xml:space="preserve"> </v>
      </c>
      <c r="AJ60" s="209" t="str">
        <f t="shared" si="39"/>
        <v xml:space="preserve"> </v>
      </c>
      <c r="AK60" s="209" t="str">
        <f t="shared" si="40"/>
        <v xml:space="preserve"> </v>
      </c>
      <c r="AL60" s="209" t="str">
        <f t="shared" si="41"/>
        <v xml:space="preserve"> </v>
      </c>
      <c r="AM60" s="209" t="str">
        <f t="shared" si="42"/>
        <v xml:space="preserve"> </v>
      </c>
      <c r="AN60" s="209"/>
      <c r="AO60" s="77"/>
      <c r="AP60" s="458">
        <f t="shared" si="11"/>
        <v>0</v>
      </c>
      <c r="AQ60" s="465"/>
      <c r="AR60" s="466"/>
      <c r="AS60" s="152"/>
      <c r="AT60" s="244" t="str">
        <f t="shared" si="62"/>
        <v xml:space="preserve"> </v>
      </c>
      <c r="AU60" s="245" t="str">
        <f t="shared" si="44"/>
        <v xml:space="preserve"> </v>
      </c>
      <c r="AV60" s="245" t="str">
        <f t="shared" si="63"/>
        <v xml:space="preserve"> </v>
      </c>
      <c r="AW60" s="245" t="str">
        <f t="shared" si="64"/>
        <v xml:space="preserve"> </v>
      </c>
      <c r="AX60" s="245" t="str">
        <f t="shared" si="65"/>
        <v xml:space="preserve"> </v>
      </c>
      <c r="AY60" s="545" t="str">
        <f t="shared" si="66"/>
        <v xml:space="preserve"> </v>
      </c>
      <c r="AZ60" s="246" t="str">
        <f t="shared" si="67"/>
        <v xml:space="preserve"> </v>
      </c>
      <c r="BA60" s="73">
        <f t="shared" si="59"/>
        <v>0</v>
      </c>
      <c r="BB60" s="73" t="str">
        <f t="shared" si="60"/>
        <v xml:space="preserve"> </v>
      </c>
      <c r="BC60" s="210" t="str">
        <f t="shared" si="43"/>
        <v xml:space="preserve"> </v>
      </c>
      <c r="BD60" s="210" t="str">
        <f t="shared" si="61"/>
        <v xml:space="preserve"> </v>
      </c>
      <c r="BE60" s="157" t="str">
        <f t="shared" si="23"/>
        <v xml:space="preserve"> </v>
      </c>
      <c r="BF60" s="157" t="str">
        <f t="shared" si="24"/>
        <v xml:space="preserve"> </v>
      </c>
      <c r="BG60" s="157" t="str">
        <f t="shared" si="25"/>
        <v xml:space="preserve"> </v>
      </c>
      <c r="BH60" s="157" t="str">
        <f t="shared" si="26"/>
        <v xml:space="preserve"> </v>
      </c>
      <c r="BI60" s="211" t="str">
        <f t="shared" si="27"/>
        <v xml:space="preserve"> </v>
      </c>
      <c r="BJ60" s="248"/>
      <c r="BK60" s="248"/>
    </row>
    <row r="61" spans="1:63" ht="12.75" hidden="1" customHeight="1" outlineLevel="1" thickBot="1">
      <c r="A61" s="248"/>
      <c r="B61" s="248"/>
      <c r="C61" s="267" t="s">
        <v>317</v>
      </c>
      <c r="D61" s="399" t="s">
        <v>16</v>
      </c>
      <c r="E61" s="399"/>
      <c r="F61" s="254">
        <v>0.2</v>
      </c>
      <c r="G61" s="254">
        <v>0.9</v>
      </c>
      <c r="H61" s="255">
        <v>4.5</v>
      </c>
      <c r="I61" s="255">
        <v>0.6</v>
      </c>
      <c r="J61" s="255">
        <v>4</v>
      </c>
      <c r="K61" s="255">
        <v>0.3</v>
      </c>
      <c r="L61" s="255">
        <v>0</v>
      </c>
      <c r="M61" s="400">
        <v>308</v>
      </c>
      <c r="N61" s="401">
        <v>0.53</v>
      </c>
      <c r="O61" s="294" t="str">
        <f t="shared" si="45"/>
        <v xml:space="preserve"> </v>
      </c>
      <c r="P61" s="314" t="str">
        <f t="shared" si="46"/>
        <v xml:space="preserve"> </v>
      </c>
      <c r="Q61" s="311" t="str">
        <f t="shared" si="47"/>
        <v xml:space="preserve"> </v>
      </c>
      <c r="R61" s="250"/>
      <c r="S61" s="458">
        <f t="shared" si="0"/>
        <v>0</v>
      </c>
      <c r="T61" s="465"/>
      <c r="U61" s="466"/>
      <c r="V61" s="152"/>
      <c r="W61" s="153" t="str">
        <f t="shared" si="31"/>
        <v xml:space="preserve"> </v>
      </c>
      <c r="X61" s="74" t="str">
        <f t="shared" si="32"/>
        <v xml:space="preserve"> </v>
      </c>
      <c r="Y61" s="74" t="str">
        <f t="shared" si="33"/>
        <v xml:space="preserve"> </v>
      </c>
      <c r="Z61" s="74" t="str">
        <f t="shared" si="34"/>
        <v xml:space="preserve"> </v>
      </c>
      <c r="AA61" s="74" t="str">
        <f t="shared" si="35"/>
        <v xml:space="preserve"> </v>
      </c>
      <c r="AB61" s="75" t="str">
        <f t="shared" si="36"/>
        <v xml:space="preserve"> </v>
      </c>
      <c r="AC61" s="76" t="str">
        <f t="shared" si="37"/>
        <v xml:space="preserve"> </v>
      </c>
      <c r="AD61" s="73">
        <f t="shared" si="48"/>
        <v>0</v>
      </c>
      <c r="AE61" s="73" t="str">
        <f t="shared" si="49"/>
        <v xml:space="preserve"> </v>
      </c>
      <c r="AF61" s="154">
        <f t="shared" si="50"/>
        <v>0.68085849056603776</v>
      </c>
      <c r="AG61" s="208" t="str">
        <f t="shared" si="51"/>
        <v xml:space="preserve"> </v>
      </c>
      <c r="AH61" s="208" t="str">
        <f t="shared" si="52"/>
        <v xml:space="preserve"> </v>
      </c>
      <c r="AI61" s="209" t="str">
        <f t="shared" si="38"/>
        <v xml:space="preserve"> </v>
      </c>
      <c r="AJ61" s="209" t="str">
        <f t="shared" si="39"/>
        <v xml:space="preserve"> </v>
      </c>
      <c r="AK61" s="209" t="str">
        <f t="shared" si="40"/>
        <v xml:space="preserve"> </v>
      </c>
      <c r="AL61" s="209" t="str">
        <f t="shared" si="41"/>
        <v xml:space="preserve"> </v>
      </c>
      <c r="AM61" s="209" t="str">
        <f t="shared" si="42"/>
        <v xml:space="preserve"> </v>
      </c>
      <c r="AN61" s="209"/>
      <c r="AO61" s="77"/>
      <c r="AP61" s="458">
        <f t="shared" si="11"/>
        <v>0</v>
      </c>
      <c r="AQ61" s="465"/>
      <c r="AR61" s="466"/>
      <c r="AS61" s="152"/>
      <c r="AT61" s="244" t="str">
        <f t="shared" si="62"/>
        <v xml:space="preserve"> </v>
      </c>
      <c r="AU61" s="245" t="str">
        <f t="shared" si="44"/>
        <v xml:space="preserve"> </v>
      </c>
      <c r="AV61" s="245" t="str">
        <f t="shared" si="63"/>
        <v xml:space="preserve"> </v>
      </c>
      <c r="AW61" s="245" t="str">
        <f t="shared" si="64"/>
        <v xml:space="preserve"> </v>
      </c>
      <c r="AX61" s="245" t="str">
        <f t="shared" si="65"/>
        <v xml:space="preserve"> </v>
      </c>
      <c r="AY61" s="545" t="str">
        <f t="shared" si="66"/>
        <v xml:space="preserve"> </v>
      </c>
      <c r="AZ61" s="246" t="str">
        <f t="shared" si="67"/>
        <v xml:space="preserve"> </v>
      </c>
      <c r="BA61" s="73">
        <f t="shared" si="59"/>
        <v>0</v>
      </c>
      <c r="BB61" s="73" t="str">
        <f t="shared" si="60"/>
        <v xml:space="preserve"> </v>
      </c>
      <c r="BC61" s="210" t="str">
        <f t="shared" si="43"/>
        <v xml:space="preserve"> </v>
      </c>
      <c r="BD61" s="210" t="str">
        <f t="shared" si="61"/>
        <v xml:space="preserve"> </v>
      </c>
      <c r="BE61" s="157" t="str">
        <f t="shared" si="23"/>
        <v xml:space="preserve"> </v>
      </c>
      <c r="BF61" s="157" t="str">
        <f t="shared" si="24"/>
        <v xml:space="preserve"> </v>
      </c>
      <c r="BG61" s="157" t="str">
        <f t="shared" si="25"/>
        <v xml:space="preserve"> </v>
      </c>
      <c r="BH61" s="157" t="str">
        <f t="shared" si="26"/>
        <v xml:space="preserve"> </v>
      </c>
      <c r="BI61" s="211" t="str">
        <f t="shared" si="27"/>
        <v xml:space="preserve"> </v>
      </c>
      <c r="BJ61" s="248"/>
      <c r="BK61" s="248"/>
    </row>
    <row r="62" spans="1:63" ht="12.75" customHeight="1" collapsed="1" thickBot="1">
      <c r="A62" s="248"/>
      <c r="B62" s="248"/>
      <c r="C62" s="267" t="s">
        <v>372</v>
      </c>
      <c r="D62" s="399" t="s">
        <v>16</v>
      </c>
      <c r="E62" s="399"/>
      <c r="F62" s="254">
        <v>0.2</v>
      </c>
      <c r="G62" s="254">
        <v>0.9</v>
      </c>
      <c r="H62" s="255">
        <v>6</v>
      </c>
      <c r="I62" s="255">
        <v>0.6</v>
      </c>
      <c r="J62" s="255">
        <v>5.4</v>
      </c>
      <c r="K62" s="255">
        <v>0.3</v>
      </c>
      <c r="L62" s="255">
        <v>0</v>
      </c>
      <c r="M62" s="400">
        <v>290</v>
      </c>
      <c r="N62" s="401">
        <v>0.5</v>
      </c>
      <c r="O62" s="294" t="str">
        <f t="shared" si="45"/>
        <v xml:space="preserve"> </v>
      </c>
      <c r="P62" s="314" t="str">
        <f t="shared" si="46"/>
        <v xml:space="preserve"> </v>
      </c>
      <c r="Q62" s="311" t="str">
        <f t="shared" si="47"/>
        <v xml:space="preserve"> </v>
      </c>
      <c r="R62" s="250"/>
      <c r="S62" s="458">
        <f t="shared" si="0"/>
        <v>0</v>
      </c>
      <c r="T62" s="465"/>
      <c r="U62" s="466"/>
      <c r="V62" s="152"/>
      <c r="W62" s="153" t="str">
        <f t="shared" si="31"/>
        <v xml:space="preserve"> </v>
      </c>
      <c r="X62" s="74" t="str">
        <f t="shared" si="32"/>
        <v xml:space="preserve"> </v>
      </c>
      <c r="Y62" s="74" t="str">
        <f t="shared" si="33"/>
        <v xml:space="preserve"> </v>
      </c>
      <c r="Z62" s="74" t="str">
        <f t="shared" si="34"/>
        <v xml:space="preserve"> </v>
      </c>
      <c r="AA62" s="74" t="str">
        <f t="shared" si="35"/>
        <v xml:space="preserve"> </v>
      </c>
      <c r="AB62" s="75" t="str">
        <f t="shared" si="36"/>
        <v xml:space="preserve"> </v>
      </c>
      <c r="AC62" s="76" t="str">
        <f t="shared" si="37"/>
        <v xml:space="preserve"> </v>
      </c>
      <c r="AD62" s="73">
        <f t="shared" si="48"/>
        <v>0</v>
      </c>
      <c r="AE62" s="73" t="str">
        <f t="shared" si="49"/>
        <v xml:space="preserve"> </v>
      </c>
      <c r="AF62" s="154">
        <f t="shared" si="50"/>
        <v>0.69910714285714293</v>
      </c>
      <c r="AG62" s="208" t="str">
        <f t="shared" si="51"/>
        <v xml:space="preserve"> </v>
      </c>
      <c r="AH62" s="208" t="str">
        <f t="shared" si="52"/>
        <v xml:space="preserve"> </v>
      </c>
      <c r="AI62" s="209" t="str">
        <f t="shared" si="38"/>
        <v xml:space="preserve"> </v>
      </c>
      <c r="AJ62" s="209" t="str">
        <f t="shared" si="39"/>
        <v xml:space="preserve"> </v>
      </c>
      <c r="AK62" s="209" t="str">
        <f t="shared" si="40"/>
        <v xml:space="preserve"> </v>
      </c>
      <c r="AL62" s="209" t="str">
        <f t="shared" si="41"/>
        <v xml:space="preserve"> </v>
      </c>
      <c r="AM62" s="209" t="str">
        <f t="shared" si="42"/>
        <v xml:space="preserve"> </v>
      </c>
      <c r="AN62" s="209"/>
      <c r="AO62" s="77"/>
      <c r="AP62" s="458">
        <f t="shared" si="11"/>
        <v>0</v>
      </c>
      <c r="AQ62" s="465"/>
      <c r="AR62" s="466"/>
      <c r="AS62" s="152"/>
      <c r="AT62" s="244" t="str">
        <f t="shared" si="62"/>
        <v xml:space="preserve"> </v>
      </c>
      <c r="AU62" s="245" t="str">
        <f t="shared" si="44"/>
        <v xml:space="preserve"> </v>
      </c>
      <c r="AV62" s="245" t="str">
        <f t="shared" si="63"/>
        <v xml:space="preserve"> </v>
      </c>
      <c r="AW62" s="245" t="str">
        <f t="shared" si="64"/>
        <v xml:space="preserve"> </v>
      </c>
      <c r="AX62" s="245" t="str">
        <f t="shared" si="65"/>
        <v xml:space="preserve"> </v>
      </c>
      <c r="AY62" s="545" t="str">
        <f t="shared" si="66"/>
        <v xml:space="preserve"> </v>
      </c>
      <c r="AZ62" s="246" t="str">
        <f t="shared" si="67"/>
        <v xml:space="preserve"> </v>
      </c>
      <c r="BA62" s="73">
        <f t="shared" si="59"/>
        <v>0</v>
      </c>
      <c r="BB62" s="73" t="str">
        <f t="shared" si="60"/>
        <v xml:space="preserve"> </v>
      </c>
      <c r="BC62" s="210" t="str">
        <f t="shared" si="43"/>
        <v xml:space="preserve"> </v>
      </c>
      <c r="BD62" s="210" t="str">
        <f t="shared" si="61"/>
        <v xml:space="preserve"> </v>
      </c>
      <c r="BE62" s="157" t="str">
        <f t="shared" si="23"/>
        <v xml:space="preserve"> </v>
      </c>
      <c r="BF62" s="157" t="str">
        <f t="shared" si="24"/>
        <v xml:space="preserve"> </v>
      </c>
      <c r="BG62" s="157" t="str">
        <f t="shared" si="25"/>
        <v xml:space="preserve"> </v>
      </c>
      <c r="BH62" s="157" t="str">
        <f t="shared" si="26"/>
        <v xml:space="preserve"> </v>
      </c>
      <c r="BI62" s="211" t="str">
        <f t="shared" si="27"/>
        <v xml:space="preserve"> </v>
      </c>
      <c r="BJ62" s="248"/>
      <c r="BK62" s="248"/>
    </row>
    <row r="63" spans="1:63" ht="12.75" customHeight="1" thickBot="1">
      <c r="A63" s="248"/>
      <c r="B63" s="248"/>
      <c r="C63" s="267" t="s">
        <v>315</v>
      </c>
      <c r="D63" s="399" t="s">
        <v>309</v>
      </c>
      <c r="E63" s="399"/>
      <c r="F63" s="254">
        <v>1</v>
      </c>
      <c r="G63" s="254">
        <v>0.9</v>
      </c>
      <c r="H63" s="255">
        <v>22.5</v>
      </c>
      <c r="I63" s="255">
        <v>4</v>
      </c>
      <c r="J63" s="255">
        <v>23</v>
      </c>
      <c r="K63" s="255">
        <v>2.5</v>
      </c>
      <c r="L63" s="255">
        <v>0</v>
      </c>
      <c r="M63" s="400">
        <v>310</v>
      </c>
      <c r="N63" s="401">
        <v>0.53</v>
      </c>
      <c r="O63" s="294" t="str">
        <f t="shared" si="45"/>
        <v xml:space="preserve"> </v>
      </c>
      <c r="P63" s="314" t="str">
        <f t="shared" si="46"/>
        <v xml:space="preserve"> </v>
      </c>
      <c r="Q63" s="311" t="str">
        <f t="shared" si="47"/>
        <v xml:space="preserve"> </v>
      </c>
      <c r="R63" s="250"/>
      <c r="S63" s="458">
        <f t="shared" si="0"/>
        <v>0</v>
      </c>
      <c r="T63" s="465"/>
      <c r="U63" s="466"/>
      <c r="V63" s="152"/>
      <c r="W63" s="153" t="str">
        <f t="shared" si="31"/>
        <v xml:space="preserve"> </v>
      </c>
      <c r="X63" s="74" t="str">
        <f t="shared" si="32"/>
        <v xml:space="preserve"> </v>
      </c>
      <c r="Y63" s="74" t="str">
        <f t="shared" si="33"/>
        <v xml:space="preserve"> </v>
      </c>
      <c r="Z63" s="74" t="str">
        <f t="shared" si="34"/>
        <v xml:space="preserve"> </v>
      </c>
      <c r="AA63" s="74" t="str">
        <f t="shared" si="35"/>
        <v xml:space="preserve"> </v>
      </c>
      <c r="AB63" s="75" t="str">
        <f t="shared" si="36"/>
        <v xml:space="preserve"> </v>
      </c>
      <c r="AC63" s="76" t="str">
        <f t="shared" si="37"/>
        <v xml:space="preserve"> </v>
      </c>
      <c r="AD63" s="73">
        <f t="shared" si="48"/>
        <v>0</v>
      </c>
      <c r="AE63" s="73" t="str">
        <f t="shared" si="49"/>
        <v xml:space="preserve"> </v>
      </c>
      <c r="AF63" s="154">
        <f t="shared" si="50"/>
        <v>0.68527964959568732</v>
      </c>
      <c r="AG63" s="208" t="str">
        <f t="shared" si="51"/>
        <v xml:space="preserve"> </v>
      </c>
      <c r="AH63" s="208" t="str">
        <f t="shared" si="52"/>
        <v xml:space="preserve"> </v>
      </c>
      <c r="AI63" s="209" t="str">
        <f t="shared" si="38"/>
        <v xml:space="preserve"> </v>
      </c>
      <c r="AJ63" s="209" t="str">
        <f t="shared" si="39"/>
        <v xml:space="preserve"> </v>
      </c>
      <c r="AK63" s="209" t="str">
        <f t="shared" si="40"/>
        <v xml:space="preserve"> </v>
      </c>
      <c r="AL63" s="209" t="str">
        <f t="shared" si="41"/>
        <v xml:space="preserve"> </v>
      </c>
      <c r="AM63" s="209" t="str">
        <f t="shared" si="42"/>
        <v xml:space="preserve"> </v>
      </c>
      <c r="AN63" s="209"/>
      <c r="AO63" s="77"/>
      <c r="AP63" s="458">
        <f t="shared" si="11"/>
        <v>6.3013698630136989</v>
      </c>
      <c r="AQ63" s="465">
        <v>2300</v>
      </c>
      <c r="AR63" s="466">
        <v>0.35</v>
      </c>
      <c r="AS63" s="152"/>
      <c r="AT63" s="244">
        <f t="shared" si="62"/>
        <v>0.9</v>
      </c>
      <c r="AU63" s="245">
        <f t="shared" si="44"/>
        <v>7.8749999999999991</v>
      </c>
      <c r="AV63" s="245">
        <f t="shared" si="63"/>
        <v>1.4</v>
      </c>
      <c r="AW63" s="245">
        <f t="shared" si="64"/>
        <v>8.0499999999999989</v>
      </c>
      <c r="AX63" s="245">
        <f t="shared" si="65"/>
        <v>0.875</v>
      </c>
      <c r="AY63" s="545">
        <f t="shared" si="66"/>
        <v>310</v>
      </c>
      <c r="AZ63" s="246">
        <f t="shared" si="67"/>
        <v>0.53</v>
      </c>
      <c r="BA63" s="73">
        <f t="shared" si="59"/>
        <v>2.2054794520547945</v>
      </c>
      <c r="BB63" s="73">
        <f t="shared" si="60"/>
        <v>1.984931506849315</v>
      </c>
      <c r="BC63" s="210">
        <f t="shared" si="43"/>
        <v>615.32876712328766</v>
      </c>
      <c r="BD63" s="210">
        <f t="shared" si="61"/>
        <v>1160.9976738175237</v>
      </c>
      <c r="BE63" s="157">
        <f t="shared" si="23"/>
        <v>49.623287671232873</v>
      </c>
      <c r="BF63" s="157">
        <f t="shared" si="24"/>
        <v>8.8219178082191778</v>
      </c>
      <c r="BG63" s="157">
        <f t="shared" si="25"/>
        <v>50.726027397260268</v>
      </c>
      <c r="BH63" s="157">
        <f t="shared" si="26"/>
        <v>5.5136986301369868</v>
      </c>
      <c r="BI63" s="211">
        <f t="shared" si="27"/>
        <v>0</v>
      </c>
      <c r="BJ63" s="248"/>
      <c r="BK63" s="248"/>
    </row>
    <row r="64" spans="1:63" ht="12.75" customHeight="1" thickBot="1">
      <c r="A64" s="248"/>
      <c r="B64" s="248"/>
      <c r="C64" s="267" t="s">
        <v>316</v>
      </c>
      <c r="D64" s="399" t="s">
        <v>311</v>
      </c>
      <c r="E64" s="399"/>
      <c r="F64" s="254">
        <v>1</v>
      </c>
      <c r="G64" s="254">
        <v>0.9</v>
      </c>
      <c r="H64" s="255">
        <v>23.8</v>
      </c>
      <c r="I64" s="255">
        <v>4.3</v>
      </c>
      <c r="J64" s="255">
        <v>23.8</v>
      </c>
      <c r="K64" s="255">
        <v>2.4</v>
      </c>
      <c r="L64" s="255">
        <v>0</v>
      </c>
      <c r="M64" s="400">
        <v>320</v>
      </c>
      <c r="N64" s="401">
        <v>0.53</v>
      </c>
      <c r="O64" s="294" t="str">
        <f t="shared" si="45"/>
        <v xml:space="preserve"> </v>
      </c>
      <c r="P64" s="314" t="str">
        <f t="shared" si="46"/>
        <v xml:space="preserve"> </v>
      </c>
      <c r="Q64" s="311" t="str">
        <f t="shared" si="47"/>
        <v xml:space="preserve"> </v>
      </c>
      <c r="R64" s="250"/>
      <c r="S64" s="458">
        <f t="shared" si="0"/>
        <v>0</v>
      </c>
      <c r="T64" s="465"/>
      <c r="U64" s="466"/>
      <c r="V64" s="152"/>
      <c r="W64" s="153" t="str">
        <f t="shared" si="31"/>
        <v xml:space="preserve"> </v>
      </c>
      <c r="X64" s="74" t="str">
        <f t="shared" si="32"/>
        <v xml:space="preserve"> </v>
      </c>
      <c r="Y64" s="74" t="str">
        <f t="shared" si="33"/>
        <v xml:space="preserve"> </v>
      </c>
      <c r="Z64" s="74" t="str">
        <f t="shared" si="34"/>
        <v xml:space="preserve"> </v>
      </c>
      <c r="AA64" s="74" t="str">
        <f t="shared" si="35"/>
        <v xml:space="preserve"> </v>
      </c>
      <c r="AB64" s="75" t="str">
        <f t="shared" si="36"/>
        <v xml:space="preserve"> </v>
      </c>
      <c r="AC64" s="76" t="str">
        <f t="shared" si="37"/>
        <v xml:space="preserve"> </v>
      </c>
      <c r="AD64" s="73">
        <f t="shared" si="48"/>
        <v>0</v>
      </c>
      <c r="AE64" s="73" t="str">
        <f t="shared" si="49"/>
        <v xml:space="preserve"> </v>
      </c>
      <c r="AF64" s="154">
        <f t="shared" si="50"/>
        <v>0.70738544474393517</v>
      </c>
      <c r="AG64" s="208" t="str">
        <f t="shared" si="51"/>
        <v xml:space="preserve"> </v>
      </c>
      <c r="AH64" s="208" t="str">
        <f t="shared" si="52"/>
        <v xml:space="preserve"> </v>
      </c>
      <c r="AI64" s="209" t="str">
        <f t="shared" si="38"/>
        <v xml:space="preserve"> </v>
      </c>
      <c r="AJ64" s="209" t="str">
        <f t="shared" si="39"/>
        <v xml:space="preserve"> </v>
      </c>
      <c r="AK64" s="209" t="str">
        <f t="shared" si="40"/>
        <v xml:space="preserve"> </v>
      </c>
      <c r="AL64" s="209" t="str">
        <f t="shared" si="41"/>
        <v xml:space="preserve"> </v>
      </c>
      <c r="AM64" s="209" t="str">
        <f t="shared" si="42"/>
        <v xml:space="preserve"> </v>
      </c>
      <c r="AN64" s="209"/>
      <c r="AO64" s="77"/>
      <c r="AP64" s="458">
        <f t="shared" si="11"/>
        <v>0</v>
      </c>
      <c r="AQ64" s="465"/>
      <c r="AR64" s="466"/>
      <c r="AS64" s="152"/>
      <c r="AT64" s="244" t="str">
        <f t="shared" si="62"/>
        <v xml:space="preserve"> </v>
      </c>
      <c r="AU64" s="245" t="str">
        <f t="shared" si="44"/>
        <v xml:space="preserve"> </v>
      </c>
      <c r="AV64" s="245" t="str">
        <f t="shared" si="63"/>
        <v xml:space="preserve"> </v>
      </c>
      <c r="AW64" s="245" t="str">
        <f t="shared" si="64"/>
        <v xml:space="preserve"> </v>
      </c>
      <c r="AX64" s="245" t="str">
        <f t="shared" si="65"/>
        <v xml:space="preserve"> </v>
      </c>
      <c r="AY64" s="545" t="str">
        <f t="shared" si="66"/>
        <v xml:space="preserve"> </v>
      </c>
      <c r="AZ64" s="246" t="str">
        <f t="shared" si="67"/>
        <v xml:space="preserve"> </v>
      </c>
      <c r="BA64" s="73">
        <f t="shared" si="59"/>
        <v>0</v>
      </c>
      <c r="BB64" s="73" t="str">
        <f t="shared" si="60"/>
        <v xml:space="preserve"> </v>
      </c>
      <c r="BC64" s="210" t="str">
        <f t="shared" si="43"/>
        <v xml:space="preserve"> </v>
      </c>
      <c r="BD64" s="210" t="str">
        <f t="shared" si="61"/>
        <v xml:space="preserve"> </v>
      </c>
      <c r="BE64" s="157" t="str">
        <f t="shared" si="23"/>
        <v xml:space="preserve"> </v>
      </c>
      <c r="BF64" s="157" t="str">
        <f t="shared" si="24"/>
        <v xml:space="preserve"> </v>
      </c>
      <c r="BG64" s="157" t="str">
        <f t="shared" si="25"/>
        <v xml:space="preserve"> </v>
      </c>
      <c r="BH64" s="157" t="str">
        <f t="shared" si="26"/>
        <v xml:space="preserve"> </v>
      </c>
      <c r="BI64" s="211" t="str">
        <f t="shared" si="27"/>
        <v xml:space="preserve"> </v>
      </c>
      <c r="BJ64" s="248"/>
      <c r="BK64" s="248"/>
    </row>
    <row r="65" spans="1:63" ht="12.75" customHeight="1" thickBot="1">
      <c r="A65" s="248"/>
      <c r="B65" s="248"/>
      <c r="C65" s="267" t="s">
        <v>312</v>
      </c>
      <c r="D65" s="399" t="s">
        <v>260</v>
      </c>
      <c r="E65" s="399"/>
      <c r="F65" s="254">
        <v>0.22</v>
      </c>
      <c r="G65" s="254">
        <v>0.94</v>
      </c>
      <c r="H65" s="255">
        <v>3.9</v>
      </c>
      <c r="I65" s="255">
        <v>0.65</v>
      </c>
      <c r="J65" s="255">
        <v>5</v>
      </c>
      <c r="K65" s="255">
        <v>0.2</v>
      </c>
      <c r="L65" s="255">
        <v>0</v>
      </c>
      <c r="M65" s="400">
        <v>360</v>
      </c>
      <c r="N65" s="401">
        <v>0.54</v>
      </c>
      <c r="O65" s="294" t="str">
        <f t="shared" si="45"/>
        <v xml:space="preserve"> </v>
      </c>
      <c r="P65" s="314" t="str">
        <f t="shared" si="46"/>
        <v xml:space="preserve"> </v>
      </c>
      <c r="Q65" s="311" t="str">
        <f t="shared" si="47"/>
        <v xml:space="preserve"> </v>
      </c>
      <c r="R65" s="250"/>
      <c r="S65" s="458">
        <f t="shared" si="0"/>
        <v>0</v>
      </c>
      <c r="T65" s="467"/>
      <c r="U65" s="468"/>
      <c r="V65" s="152"/>
      <c r="W65" s="153" t="str">
        <f t="shared" si="31"/>
        <v xml:space="preserve"> </v>
      </c>
      <c r="X65" s="74" t="str">
        <f t="shared" si="32"/>
        <v xml:space="preserve"> </v>
      </c>
      <c r="Y65" s="74" t="str">
        <f t="shared" si="33"/>
        <v xml:space="preserve"> </v>
      </c>
      <c r="Z65" s="74" t="str">
        <f t="shared" si="34"/>
        <v xml:space="preserve"> </v>
      </c>
      <c r="AA65" s="74" t="str">
        <f t="shared" si="35"/>
        <v xml:space="preserve"> </v>
      </c>
      <c r="AB65" s="75" t="str">
        <f t="shared" si="36"/>
        <v xml:space="preserve"> </v>
      </c>
      <c r="AC65" s="76" t="str">
        <f t="shared" si="37"/>
        <v xml:space="preserve"> </v>
      </c>
      <c r="AD65" s="73">
        <f t="shared" si="48"/>
        <v>0</v>
      </c>
      <c r="AE65" s="73" t="str">
        <f t="shared" si="49"/>
        <v xml:space="preserve"> </v>
      </c>
      <c r="AF65" s="154">
        <f t="shared" si="50"/>
        <v>0.80795238095238087</v>
      </c>
      <c r="AG65" s="208" t="str">
        <f t="shared" si="51"/>
        <v xml:space="preserve"> </v>
      </c>
      <c r="AH65" s="208" t="str">
        <f t="shared" si="52"/>
        <v xml:space="preserve"> </v>
      </c>
      <c r="AI65" s="209" t="str">
        <f t="shared" si="38"/>
        <v xml:space="preserve"> </v>
      </c>
      <c r="AJ65" s="209" t="str">
        <f t="shared" si="39"/>
        <v xml:space="preserve"> </v>
      </c>
      <c r="AK65" s="209" t="str">
        <f t="shared" si="40"/>
        <v xml:space="preserve"> </v>
      </c>
      <c r="AL65" s="209" t="str">
        <f t="shared" si="41"/>
        <v xml:space="preserve"> </v>
      </c>
      <c r="AM65" s="209" t="str">
        <f t="shared" si="42"/>
        <v xml:space="preserve"> </v>
      </c>
      <c r="AN65" s="209"/>
      <c r="AO65" s="77"/>
      <c r="AP65" s="458">
        <f t="shared" si="11"/>
        <v>0</v>
      </c>
      <c r="AQ65" s="467"/>
      <c r="AR65" s="468"/>
      <c r="AS65" s="152"/>
      <c r="AT65" s="244" t="str">
        <f t="shared" si="62"/>
        <v xml:space="preserve"> </v>
      </c>
      <c r="AU65" s="245" t="str">
        <f>IF(AP65&gt;0,H65*$AR65/$F65," ")</f>
        <v xml:space="preserve"> </v>
      </c>
      <c r="AV65" s="245" t="str">
        <f t="shared" si="63"/>
        <v xml:space="preserve"> </v>
      </c>
      <c r="AW65" s="245" t="str">
        <f t="shared" si="64"/>
        <v xml:space="preserve"> </v>
      </c>
      <c r="AX65" s="245" t="str">
        <f t="shared" si="65"/>
        <v xml:space="preserve"> </v>
      </c>
      <c r="AY65" s="545" t="str">
        <f t="shared" si="66"/>
        <v xml:space="preserve"> </v>
      </c>
      <c r="AZ65" s="246" t="str">
        <f t="shared" si="67"/>
        <v xml:space="preserve"> </v>
      </c>
      <c r="BA65" s="73">
        <f t="shared" si="59"/>
        <v>0</v>
      </c>
      <c r="BB65" s="73" t="str">
        <f t="shared" si="60"/>
        <v xml:space="preserve"> </v>
      </c>
      <c r="BC65" s="210" t="str">
        <f t="shared" si="43"/>
        <v xml:space="preserve"> </v>
      </c>
      <c r="BD65" s="210" t="str">
        <f t="shared" si="61"/>
        <v xml:space="preserve"> </v>
      </c>
      <c r="BE65" s="157" t="str">
        <f t="shared" si="23"/>
        <v xml:space="preserve"> </v>
      </c>
      <c r="BF65" s="157" t="str">
        <f t="shared" si="24"/>
        <v xml:space="preserve"> </v>
      </c>
      <c r="BG65" s="157" t="str">
        <f t="shared" si="25"/>
        <v xml:space="preserve"> </v>
      </c>
      <c r="BH65" s="157" t="str">
        <f t="shared" si="26"/>
        <v xml:space="preserve"> </v>
      </c>
      <c r="BI65" s="211" t="str">
        <f t="shared" si="27"/>
        <v xml:space="preserve"> </v>
      </c>
      <c r="BJ65" s="248"/>
      <c r="BK65" s="248"/>
    </row>
    <row r="66" spans="1:63" ht="12.75" hidden="1" customHeight="1" outlineLevel="1" thickBot="1">
      <c r="A66" s="248"/>
      <c r="B66" s="248"/>
      <c r="C66" s="267" t="s">
        <v>264</v>
      </c>
      <c r="D66" s="399" t="s">
        <v>266</v>
      </c>
      <c r="E66" s="399"/>
      <c r="F66" s="254">
        <v>0.18</v>
      </c>
      <c r="G66" s="254">
        <v>0.8</v>
      </c>
      <c r="H66" s="255">
        <v>4</v>
      </c>
      <c r="I66" s="255">
        <v>0.5</v>
      </c>
      <c r="J66" s="255">
        <v>5</v>
      </c>
      <c r="K66" s="255">
        <v>0.6</v>
      </c>
      <c r="L66" s="255">
        <v>0</v>
      </c>
      <c r="M66" s="400">
        <v>300</v>
      </c>
      <c r="N66" s="401">
        <v>0.53</v>
      </c>
      <c r="O66" s="294" t="str">
        <f t="shared" si="45"/>
        <v xml:space="preserve"> </v>
      </c>
      <c r="P66" s="314" t="str">
        <f t="shared" si="46"/>
        <v xml:space="preserve"> </v>
      </c>
      <c r="Q66" s="311" t="str">
        <f t="shared" si="47"/>
        <v xml:space="preserve"> </v>
      </c>
      <c r="R66" s="250"/>
      <c r="S66" s="151">
        <f t="shared" si="0"/>
        <v>0</v>
      </c>
      <c r="T66" s="304"/>
      <c r="U66" s="309"/>
      <c r="V66" s="152"/>
      <c r="W66" s="153" t="str">
        <f t="shared" si="31"/>
        <v xml:space="preserve"> </v>
      </c>
      <c r="X66" s="74" t="str">
        <f t="shared" si="32"/>
        <v xml:space="preserve"> </v>
      </c>
      <c r="Y66" s="74" t="str">
        <f t="shared" si="33"/>
        <v xml:space="preserve"> </v>
      </c>
      <c r="Z66" s="74" t="str">
        <f t="shared" si="34"/>
        <v xml:space="preserve"> </v>
      </c>
      <c r="AA66" s="74" t="str">
        <f t="shared" si="35"/>
        <v xml:space="preserve"> </v>
      </c>
      <c r="AB66" s="75" t="str">
        <f t="shared" si="36"/>
        <v xml:space="preserve"> </v>
      </c>
      <c r="AC66" s="76" t="str">
        <f t="shared" si="37"/>
        <v xml:space="preserve"> </v>
      </c>
      <c r="AD66" s="73">
        <f t="shared" si="48"/>
        <v>0</v>
      </c>
      <c r="AE66" s="73" t="str">
        <f t="shared" si="49"/>
        <v xml:space="preserve"> </v>
      </c>
      <c r="AF66" s="154">
        <f t="shared" si="50"/>
        <v>0.58948787061994623</v>
      </c>
      <c r="AG66" s="208" t="str">
        <f t="shared" si="51"/>
        <v xml:space="preserve"> </v>
      </c>
      <c r="AH66" s="208" t="str">
        <f t="shared" si="52"/>
        <v xml:space="preserve"> </v>
      </c>
      <c r="AI66" s="209" t="str">
        <f t="shared" si="38"/>
        <v xml:space="preserve"> </v>
      </c>
      <c r="AJ66" s="209" t="str">
        <f t="shared" si="39"/>
        <v xml:space="preserve"> </v>
      </c>
      <c r="AK66" s="209" t="str">
        <f t="shared" si="40"/>
        <v xml:space="preserve"> </v>
      </c>
      <c r="AL66" s="209" t="str">
        <f t="shared" si="41"/>
        <v xml:space="preserve"> </v>
      </c>
      <c r="AM66" s="209" t="str">
        <f t="shared" si="42"/>
        <v xml:space="preserve"> </v>
      </c>
      <c r="AN66" s="209"/>
      <c r="AO66" s="77"/>
      <c r="AP66" s="151">
        <f t="shared" si="11"/>
        <v>0</v>
      </c>
      <c r="AQ66" s="304"/>
      <c r="AR66" s="470"/>
      <c r="AS66" s="152"/>
      <c r="AT66" s="244" t="str">
        <f t="shared" si="62"/>
        <v xml:space="preserve"> </v>
      </c>
      <c r="AU66" s="245" t="str">
        <f>IF(AP66&gt;0,H66*$AR66/$F66," ")</f>
        <v xml:space="preserve"> </v>
      </c>
      <c r="AV66" s="245" t="str">
        <f t="shared" si="63"/>
        <v xml:space="preserve"> </v>
      </c>
      <c r="AW66" s="245" t="str">
        <f t="shared" si="64"/>
        <v xml:space="preserve"> </v>
      </c>
      <c r="AX66" s="245" t="str">
        <f t="shared" si="65"/>
        <v xml:space="preserve"> </v>
      </c>
      <c r="AY66" s="545" t="str">
        <f t="shared" si="66"/>
        <v xml:space="preserve"> </v>
      </c>
      <c r="AZ66" s="246" t="str">
        <f t="shared" si="67"/>
        <v xml:space="preserve"> </v>
      </c>
      <c r="BA66" s="73">
        <f t="shared" si="59"/>
        <v>0</v>
      </c>
      <c r="BB66" s="73" t="str">
        <f t="shared" si="60"/>
        <v xml:space="preserve"> </v>
      </c>
      <c r="BC66" s="210" t="str">
        <f t="shared" si="43"/>
        <v xml:space="preserve"> </v>
      </c>
      <c r="BD66" s="210" t="str">
        <f t="shared" si="61"/>
        <v xml:space="preserve"> </v>
      </c>
      <c r="BE66" s="157" t="str">
        <f t="shared" si="23"/>
        <v xml:space="preserve"> </v>
      </c>
      <c r="BF66" s="157" t="str">
        <f t="shared" si="24"/>
        <v xml:space="preserve"> </v>
      </c>
      <c r="BG66" s="157" t="str">
        <f t="shared" si="25"/>
        <v xml:space="preserve"> </v>
      </c>
      <c r="BH66" s="157" t="str">
        <f t="shared" si="26"/>
        <v xml:space="preserve"> </v>
      </c>
      <c r="BI66" s="211" t="str">
        <f t="shared" si="27"/>
        <v xml:space="preserve"> </v>
      </c>
      <c r="BJ66" s="248"/>
      <c r="BK66" s="248"/>
    </row>
    <row r="67" spans="1:63" ht="12.75" hidden="1" customHeight="1" outlineLevel="1" thickBot="1">
      <c r="A67" s="248"/>
      <c r="B67" s="248"/>
      <c r="C67" s="267" t="s">
        <v>268</v>
      </c>
      <c r="D67" s="399" t="s">
        <v>265</v>
      </c>
      <c r="E67" s="399"/>
      <c r="F67" s="254">
        <v>0.15</v>
      </c>
      <c r="G67" s="254">
        <v>0.9</v>
      </c>
      <c r="H67" s="255">
        <v>1.8</v>
      </c>
      <c r="I67" s="255">
        <v>0.4</v>
      </c>
      <c r="J67" s="255">
        <v>4.2</v>
      </c>
      <c r="K67" s="255">
        <v>0.3</v>
      </c>
      <c r="L67" s="255">
        <v>0</v>
      </c>
      <c r="M67" s="400">
        <v>360</v>
      </c>
      <c r="N67" s="401">
        <v>0.51</v>
      </c>
      <c r="O67" s="294" t="str">
        <f t="shared" si="45"/>
        <v xml:space="preserve"> </v>
      </c>
      <c r="P67" s="314" t="str">
        <f t="shared" si="46"/>
        <v xml:space="preserve"> </v>
      </c>
      <c r="Q67" s="311" t="str">
        <f t="shared" si="47"/>
        <v xml:space="preserve"> </v>
      </c>
      <c r="R67" s="250"/>
      <c r="S67" s="151">
        <f t="shared" si="0"/>
        <v>0</v>
      </c>
      <c r="T67" s="298"/>
      <c r="U67" s="299"/>
      <c r="V67" s="152"/>
      <c r="W67" s="153" t="str">
        <f t="shared" si="31"/>
        <v xml:space="preserve"> </v>
      </c>
      <c r="X67" s="74" t="str">
        <f t="shared" si="32"/>
        <v xml:space="preserve"> </v>
      </c>
      <c r="Y67" s="74" t="str">
        <f t="shared" si="33"/>
        <v xml:space="preserve"> </v>
      </c>
      <c r="Z67" s="74" t="str">
        <f t="shared" si="34"/>
        <v xml:space="preserve"> </v>
      </c>
      <c r="AA67" s="74" t="str">
        <f t="shared" si="35"/>
        <v xml:space="preserve"> </v>
      </c>
      <c r="AB67" s="75" t="str">
        <f t="shared" si="36"/>
        <v xml:space="preserve"> </v>
      </c>
      <c r="AC67" s="76" t="str">
        <f t="shared" si="37"/>
        <v xml:space="preserve"> </v>
      </c>
      <c r="AD67" s="73">
        <f t="shared" si="48"/>
        <v>0</v>
      </c>
      <c r="AE67" s="73" t="str">
        <f t="shared" si="49"/>
        <v xml:space="preserve"> </v>
      </c>
      <c r="AF67" s="154">
        <f t="shared" si="50"/>
        <v>0.84289915966386542</v>
      </c>
      <c r="AG67" s="208" t="str">
        <f t="shared" si="51"/>
        <v xml:space="preserve"> </v>
      </c>
      <c r="AH67" s="208" t="str">
        <f t="shared" si="52"/>
        <v xml:space="preserve"> </v>
      </c>
      <c r="AI67" s="209" t="str">
        <f t="shared" si="38"/>
        <v xml:space="preserve"> </v>
      </c>
      <c r="AJ67" s="209" t="str">
        <f t="shared" si="39"/>
        <v xml:space="preserve"> </v>
      </c>
      <c r="AK67" s="209" t="str">
        <f t="shared" si="40"/>
        <v xml:space="preserve"> </v>
      </c>
      <c r="AL67" s="209" t="str">
        <f t="shared" si="41"/>
        <v xml:space="preserve"> </v>
      </c>
      <c r="AM67" s="209" t="str">
        <f t="shared" si="42"/>
        <v xml:space="preserve"> </v>
      </c>
      <c r="AN67" s="209"/>
      <c r="AO67" s="77"/>
      <c r="AP67" s="151">
        <f t="shared" si="11"/>
        <v>0</v>
      </c>
      <c r="AQ67" s="298"/>
      <c r="AR67" s="302"/>
      <c r="AS67" s="152"/>
      <c r="AT67" s="244" t="str">
        <f t="shared" si="62"/>
        <v xml:space="preserve"> </v>
      </c>
      <c r="AU67" s="245" t="str">
        <f>IF(AP67&gt;0,H67*$AR67/$F67," ")</f>
        <v xml:space="preserve"> </v>
      </c>
      <c r="AV67" s="245" t="str">
        <f t="shared" si="63"/>
        <v xml:space="preserve"> </v>
      </c>
      <c r="AW67" s="245" t="str">
        <f t="shared" si="64"/>
        <v xml:space="preserve"> </v>
      </c>
      <c r="AX67" s="245" t="str">
        <f t="shared" si="65"/>
        <v xml:space="preserve"> </v>
      </c>
      <c r="AY67" s="545" t="str">
        <f t="shared" si="66"/>
        <v xml:space="preserve"> </v>
      </c>
      <c r="AZ67" s="246" t="str">
        <f t="shared" si="67"/>
        <v xml:space="preserve"> </v>
      </c>
      <c r="BA67" s="73">
        <f t="shared" si="59"/>
        <v>0</v>
      </c>
      <c r="BB67" s="73" t="str">
        <f t="shared" si="60"/>
        <v xml:space="preserve"> </v>
      </c>
      <c r="BC67" s="210" t="str">
        <f t="shared" si="43"/>
        <v xml:space="preserve"> </v>
      </c>
      <c r="BD67" s="210" t="str">
        <f t="shared" si="61"/>
        <v xml:space="preserve"> </v>
      </c>
      <c r="BE67" s="157" t="str">
        <f t="shared" si="23"/>
        <v xml:space="preserve"> </v>
      </c>
      <c r="BF67" s="157" t="str">
        <f t="shared" si="24"/>
        <v xml:space="preserve"> </v>
      </c>
      <c r="BG67" s="157" t="str">
        <f t="shared" si="25"/>
        <v xml:space="preserve"> </v>
      </c>
      <c r="BH67" s="157" t="str">
        <f t="shared" si="26"/>
        <v xml:space="preserve"> </v>
      </c>
      <c r="BI67" s="211" t="str">
        <f t="shared" si="27"/>
        <v xml:space="preserve"> </v>
      </c>
      <c r="BJ67" s="248"/>
      <c r="BK67" s="248"/>
    </row>
    <row r="68" spans="1:63" ht="12.75" hidden="1" customHeight="1" outlineLevel="1" thickBot="1">
      <c r="A68" s="248"/>
      <c r="B68" s="248"/>
      <c r="C68" s="402" t="s">
        <v>268</v>
      </c>
      <c r="D68" s="403" t="s">
        <v>266</v>
      </c>
      <c r="E68" s="403"/>
      <c r="F68" s="268">
        <v>0.16</v>
      </c>
      <c r="G68" s="268">
        <v>0.8</v>
      </c>
      <c r="H68" s="269">
        <v>3</v>
      </c>
      <c r="I68" s="269">
        <v>0.3</v>
      </c>
      <c r="J68" s="269">
        <v>4.2</v>
      </c>
      <c r="K68" s="269">
        <v>0.5</v>
      </c>
      <c r="L68" s="269">
        <v>0</v>
      </c>
      <c r="M68" s="404">
        <v>280</v>
      </c>
      <c r="N68" s="405">
        <v>0.53</v>
      </c>
      <c r="O68" s="305" t="str">
        <f t="shared" si="45"/>
        <v xml:space="preserve"> </v>
      </c>
      <c r="P68" s="327" t="str">
        <f t="shared" si="46"/>
        <v xml:space="preserve"> </v>
      </c>
      <c r="Q68" s="325" t="str">
        <f t="shared" si="47"/>
        <v xml:space="preserve"> </v>
      </c>
      <c r="R68" s="250"/>
      <c r="S68" s="151">
        <f t="shared" si="0"/>
        <v>0</v>
      </c>
      <c r="T68" s="300"/>
      <c r="U68" s="301"/>
      <c r="V68" s="152"/>
      <c r="W68" s="153" t="str">
        <f t="shared" si="31"/>
        <v xml:space="preserve"> </v>
      </c>
      <c r="X68" s="74" t="str">
        <f t="shared" si="32"/>
        <v xml:space="preserve"> </v>
      </c>
      <c r="Y68" s="74" t="str">
        <f t="shared" si="33"/>
        <v xml:space="preserve"> </v>
      </c>
      <c r="Z68" s="74" t="str">
        <f t="shared" si="34"/>
        <v xml:space="preserve"> </v>
      </c>
      <c r="AA68" s="74" t="str">
        <f t="shared" si="35"/>
        <v xml:space="preserve"> </v>
      </c>
      <c r="AB68" s="75" t="str">
        <f t="shared" si="36"/>
        <v xml:space="preserve"> </v>
      </c>
      <c r="AC68" s="76" t="str">
        <f t="shared" si="37"/>
        <v xml:space="preserve"> </v>
      </c>
      <c r="AD68" s="73">
        <f t="shared" si="48"/>
        <v>0</v>
      </c>
      <c r="AE68" s="73" t="str">
        <f t="shared" si="49"/>
        <v xml:space="preserve"> </v>
      </c>
      <c r="AF68" s="154">
        <f t="shared" si="50"/>
        <v>0.55018867924528303</v>
      </c>
      <c r="AG68" s="208" t="str">
        <f t="shared" si="51"/>
        <v xml:space="preserve"> </v>
      </c>
      <c r="AH68" s="208" t="str">
        <f t="shared" si="52"/>
        <v xml:space="preserve"> </v>
      </c>
      <c r="AI68" s="209" t="str">
        <f t="shared" si="38"/>
        <v xml:space="preserve"> </v>
      </c>
      <c r="AJ68" s="209" t="str">
        <f t="shared" si="39"/>
        <v xml:space="preserve"> </v>
      </c>
      <c r="AK68" s="209" t="str">
        <f t="shared" si="40"/>
        <v xml:space="preserve"> </v>
      </c>
      <c r="AL68" s="209" t="str">
        <f t="shared" si="41"/>
        <v xml:space="preserve"> </v>
      </c>
      <c r="AM68" s="209" t="str">
        <f t="shared" si="42"/>
        <v xml:space="preserve"> </v>
      </c>
      <c r="AN68" s="209"/>
      <c r="AO68" s="77"/>
      <c r="AP68" s="151">
        <f t="shared" si="11"/>
        <v>0</v>
      </c>
      <c r="AQ68" s="300"/>
      <c r="AR68" s="303"/>
      <c r="AS68" s="152"/>
      <c r="AT68" s="244" t="str">
        <f t="shared" si="62"/>
        <v xml:space="preserve"> </v>
      </c>
      <c r="AU68" s="245" t="str">
        <f>IF(AP68&gt;0,H68*$AR68/$F68," ")</f>
        <v xml:space="preserve"> </v>
      </c>
      <c r="AV68" s="245" t="str">
        <f t="shared" si="63"/>
        <v xml:space="preserve"> </v>
      </c>
      <c r="AW68" s="245" t="str">
        <f t="shared" si="64"/>
        <v xml:space="preserve"> </v>
      </c>
      <c r="AX68" s="245" t="str">
        <f t="shared" si="65"/>
        <v xml:space="preserve"> </v>
      </c>
      <c r="AY68" s="545" t="str">
        <f t="shared" si="66"/>
        <v xml:space="preserve"> </v>
      </c>
      <c r="AZ68" s="246" t="str">
        <f t="shared" si="67"/>
        <v xml:space="preserve"> </v>
      </c>
      <c r="BA68" s="73">
        <f t="shared" si="59"/>
        <v>0</v>
      </c>
      <c r="BB68" s="73" t="str">
        <f t="shared" si="60"/>
        <v xml:space="preserve"> </v>
      </c>
      <c r="BC68" s="210" t="str">
        <f t="shared" si="43"/>
        <v xml:space="preserve"> </v>
      </c>
      <c r="BD68" s="210" t="str">
        <f t="shared" si="61"/>
        <v xml:space="preserve"> </v>
      </c>
      <c r="BE68" s="157" t="str">
        <f t="shared" si="23"/>
        <v xml:space="preserve"> </v>
      </c>
      <c r="BF68" s="157" t="str">
        <f t="shared" si="24"/>
        <v xml:space="preserve"> </v>
      </c>
      <c r="BG68" s="157" t="str">
        <f t="shared" si="25"/>
        <v xml:space="preserve"> </v>
      </c>
      <c r="BH68" s="157" t="str">
        <f t="shared" si="26"/>
        <v xml:space="preserve"> </v>
      </c>
      <c r="BI68" s="211" t="str">
        <f t="shared" si="27"/>
        <v xml:space="preserve"> </v>
      </c>
      <c r="BJ68" s="248"/>
      <c r="BK68" s="248"/>
    </row>
    <row r="69" spans="1:63" ht="28.5" customHeight="1" collapsed="1" thickBot="1">
      <c r="A69" s="248"/>
      <c r="B69" s="248"/>
      <c r="C69" s="34" t="s">
        <v>19</v>
      </c>
      <c r="D69" s="62"/>
      <c r="E69" s="63" t="s">
        <v>22</v>
      </c>
      <c r="F69" s="6"/>
      <c r="G69" s="6"/>
      <c r="H69" s="6"/>
      <c r="I69" s="6"/>
      <c r="J69" s="6"/>
      <c r="K69" s="6"/>
      <c r="L69" s="6"/>
      <c r="M69" s="6"/>
      <c r="N69" s="6"/>
      <c r="O69" s="141"/>
      <c r="P69" s="142"/>
      <c r="Q69" s="142"/>
      <c r="R69" s="250"/>
      <c r="S69" s="151"/>
      <c r="T69" s="155"/>
      <c r="U69" s="156"/>
      <c r="V69" s="79"/>
      <c r="W69" s="153"/>
      <c r="X69" s="74"/>
      <c r="Y69" s="74"/>
      <c r="Z69" s="74"/>
      <c r="AA69" s="74"/>
      <c r="AB69" s="75"/>
      <c r="AC69" s="76"/>
      <c r="AD69" s="73"/>
      <c r="AE69" s="73"/>
      <c r="AF69" s="154"/>
      <c r="AG69" s="208"/>
      <c r="AH69" s="208"/>
      <c r="AI69" s="209"/>
      <c r="AJ69" s="209"/>
      <c r="AK69" s="209"/>
      <c r="AL69" s="209"/>
      <c r="AM69" s="209"/>
      <c r="AN69" s="209"/>
      <c r="AO69" s="77"/>
      <c r="AP69" s="151"/>
      <c r="AQ69" s="149"/>
      <c r="AR69" s="149"/>
      <c r="AS69" s="149"/>
      <c r="AT69" s="149"/>
      <c r="AU69" s="149"/>
      <c r="AV69" s="149"/>
      <c r="AW69" s="149"/>
      <c r="AX69" s="149"/>
      <c r="AY69" s="546"/>
      <c r="AZ69" s="150"/>
      <c r="BA69" s="149"/>
      <c r="BB69" s="149"/>
      <c r="BC69" s="149"/>
      <c r="BD69" s="149"/>
      <c r="BE69" s="149"/>
      <c r="BF69" s="149"/>
      <c r="BG69" s="149"/>
      <c r="BH69" s="149"/>
      <c r="BI69" s="149"/>
      <c r="BJ69" s="248"/>
      <c r="BK69" s="248"/>
    </row>
    <row r="70" spans="1:63" ht="12.75" hidden="1" customHeight="1" outlineLevel="1" thickBot="1">
      <c r="A70" s="248"/>
      <c r="B70" s="248"/>
      <c r="C70" s="307"/>
      <c r="D70" s="416"/>
      <c r="E70" s="417"/>
      <c r="F70" s="282"/>
      <c r="G70" s="283"/>
      <c r="H70" s="285"/>
      <c r="I70" s="285"/>
      <c r="J70" s="285"/>
      <c r="K70" s="285"/>
      <c r="L70" s="255"/>
      <c r="M70" s="257"/>
      <c r="N70" s="291"/>
      <c r="O70" s="294" t="str">
        <f t="shared" si="45"/>
        <v xml:space="preserve"> </v>
      </c>
      <c r="P70" s="314" t="str">
        <f t="shared" si="46"/>
        <v xml:space="preserve"> </v>
      </c>
      <c r="Q70" s="311" t="str">
        <f t="shared" si="47"/>
        <v xml:space="preserve"> </v>
      </c>
      <c r="R70" s="250"/>
      <c r="S70" s="151">
        <f t="shared" ref="S70:S85" si="68">+T70/365</f>
        <v>0</v>
      </c>
      <c r="T70" s="298"/>
      <c r="U70" s="299"/>
      <c r="V70" s="152"/>
      <c r="W70" s="153" t="str">
        <f t="shared" ref="W70:W79" si="69">IF(S70&gt;0,G70," ")</f>
        <v xml:space="preserve"> </v>
      </c>
      <c r="X70" s="74" t="str">
        <f t="shared" ref="X70:X79" si="70">IF(S70&gt;0,H70*$U70/$F70," ")</f>
        <v xml:space="preserve"> </v>
      </c>
      <c r="Y70" s="74" t="str">
        <f t="shared" ref="Y70:Y79" si="71">IF(S70&gt;0,I70*$U70/$F70," ")</f>
        <v xml:space="preserve"> </v>
      </c>
      <c r="Z70" s="74" t="str">
        <f t="shared" ref="Z70:Z79" si="72">IF($S70&gt;0,+J70*$U70/$F70," ")</f>
        <v xml:space="preserve"> </v>
      </c>
      <c r="AA70" s="74" t="str">
        <f t="shared" ref="AA70:AA79" si="73">IF($S70&gt;0,+K70*$U70/$F70," ")</f>
        <v xml:space="preserve"> </v>
      </c>
      <c r="AB70" s="75" t="str">
        <f t="shared" ref="AB70:AB79" si="74">IF(S70&gt;0,M70," ")</f>
        <v xml:space="preserve"> </v>
      </c>
      <c r="AC70" s="76" t="str">
        <f t="shared" ref="AC70:AC79" si="75">IF(S70&gt;0,N70," ")</f>
        <v xml:space="preserve"> </v>
      </c>
      <c r="AD70" s="73">
        <f t="shared" si="48"/>
        <v>0</v>
      </c>
      <c r="AE70" s="73" t="str">
        <f t="shared" si="49"/>
        <v xml:space="preserve"> </v>
      </c>
      <c r="AF70" s="154" t="e">
        <f t="shared" si="50"/>
        <v>#DIV/0!</v>
      </c>
      <c r="AG70" s="208" t="str">
        <f t="shared" si="51"/>
        <v xml:space="preserve"> </v>
      </c>
      <c r="AH70" s="208" t="str">
        <f t="shared" si="52"/>
        <v xml:space="preserve"> </v>
      </c>
      <c r="AI70" s="209" t="str">
        <f t="shared" si="38"/>
        <v xml:space="preserve"> </v>
      </c>
      <c r="AJ70" s="209" t="str">
        <f t="shared" si="39"/>
        <v xml:space="preserve"> </v>
      </c>
      <c r="AK70" s="209" t="str">
        <f t="shared" si="40"/>
        <v xml:space="preserve"> </v>
      </c>
      <c r="AL70" s="209" t="str">
        <f t="shared" si="41"/>
        <v xml:space="preserve"> </v>
      </c>
      <c r="AM70" s="209" t="str">
        <f t="shared" si="42"/>
        <v xml:space="preserve"> </v>
      </c>
      <c r="AN70" s="209"/>
      <c r="AO70" s="77"/>
      <c r="AP70" s="151">
        <f t="shared" ref="AP70:AP85" si="76">+AQ70/365</f>
        <v>0</v>
      </c>
      <c r="AQ70" s="298"/>
      <c r="AR70" s="302"/>
      <c r="AS70" s="152"/>
      <c r="AT70" s="244" t="str">
        <f t="shared" ref="AT70:AT79" si="77">IF(AP70&gt;0,G70," ")</f>
        <v xml:space="preserve"> </v>
      </c>
      <c r="AU70" s="245" t="str">
        <f t="shared" ref="AU70:AU79" si="78">IF(AP70&gt;0,H70*$AR70/$F70," ")</f>
        <v xml:space="preserve"> </v>
      </c>
      <c r="AV70" s="245" t="str">
        <f t="shared" ref="AV70:AV79" si="79">IF(AP70&gt;0,I70*$AR70/$F70," ")</f>
        <v xml:space="preserve"> </v>
      </c>
      <c r="AW70" s="245" t="str">
        <f t="shared" ref="AW70:AW79" si="80">IF(AP70&gt;0,J70*$AR70/$F70," ")</f>
        <v xml:space="preserve"> </v>
      </c>
      <c r="AX70" s="245" t="str">
        <f t="shared" ref="AX70:AX79" si="81">IF(AP70&gt;0,K70*$AR70/$F70," ")</f>
        <v xml:space="preserve"> </v>
      </c>
      <c r="AY70" s="545" t="str">
        <f t="shared" ref="AY70:AY79" si="82">IF(AP70&gt;0,M70," ")</f>
        <v xml:space="preserve"> </v>
      </c>
      <c r="AZ70" s="246" t="str">
        <f t="shared" ref="AZ70:AZ79" si="83">IF(AP70&gt;0,N70," ")</f>
        <v xml:space="preserve"> </v>
      </c>
      <c r="BA70" s="73">
        <f t="shared" ref="BA70:BA79" si="84">+AP70*AR70</f>
        <v>0</v>
      </c>
      <c r="BB70" s="73" t="str">
        <f t="shared" ref="BB70:BB79" si="85">IF(AP70&gt;0,AP70*AR70*AT70," ")</f>
        <v xml:space="preserve"> </v>
      </c>
      <c r="BC70" s="210" t="str">
        <f t="shared" si="43"/>
        <v xml:space="preserve"> </v>
      </c>
      <c r="BD70" s="210" t="str">
        <f t="shared" si="61"/>
        <v xml:space="preserve"> </v>
      </c>
      <c r="BE70" s="157" t="str">
        <f t="shared" ref="BE70:BE79" si="86">IF($AP70&gt;0,$AP70*AU70," ")</f>
        <v xml:space="preserve"> </v>
      </c>
      <c r="BF70" s="157" t="str">
        <f t="shared" ref="BF70:BF79" si="87">IF($AP70&gt;0,$AP70*AV70," ")</f>
        <v xml:space="preserve"> </v>
      </c>
      <c r="BG70" s="157" t="str">
        <f t="shared" ref="BG70:BG79" si="88">IF($AP70&gt;0,$AP70*AW70," ")</f>
        <v xml:space="preserve"> </v>
      </c>
      <c r="BH70" s="157" t="str">
        <f t="shared" ref="BH70:BH79" si="89">IF($AP70&gt;0,$AP70*AX70," ")</f>
        <v xml:space="preserve"> </v>
      </c>
      <c r="BI70" s="211" t="str">
        <f t="shared" ref="BI70:BI79" si="90">IF(AP70&gt;0,AP70*AS70*365/1000," ")</f>
        <v xml:space="preserve"> </v>
      </c>
      <c r="BJ70" s="248"/>
      <c r="BK70" s="248"/>
    </row>
    <row r="71" spans="1:63" ht="12.75" hidden="1" customHeight="1" outlineLevel="1" thickBot="1">
      <c r="A71" s="248"/>
      <c r="B71" s="248"/>
      <c r="C71" s="266"/>
      <c r="D71" s="281"/>
      <c r="E71" s="420"/>
      <c r="F71" s="282"/>
      <c r="G71" s="283"/>
      <c r="H71" s="285"/>
      <c r="I71" s="285"/>
      <c r="J71" s="285"/>
      <c r="K71" s="285"/>
      <c r="L71" s="255"/>
      <c r="M71" s="257"/>
      <c r="N71" s="291"/>
      <c r="O71" s="294" t="str">
        <f t="shared" si="45"/>
        <v xml:space="preserve"> </v>
      </c>
      <c r="P71" s="314" t="str">
        <f t="shared" si="46"/>
        <v xml:space="preserve"> </v>
      </c>
      <c r="Q71" s="311" t="str">
        <f t="shared" si="47"/>
        <v xml:space="preserve"> </v>
      </c>
      <c r="R71" s="250"/>
      <c r="S71" s="151">
        <f t="shared" si="68"/>
        <v>0</v>
      </c>
      <c r="T71" s="459"/>
      <c r="U71" s="460"/>
      <c r="V71" s="152"/>
      <c r="W71" s="153" t="str">
        <f t="shared" si="69"/>
        <v xml:space="preserve"> </v>
      </c>
      <c r="X71" s="74" t="str">
        <f t="shared" si="70"/>
        <v xml:space="preserve"> </v>
      </c>
      <c r="Y71" s="74" t="str">
        <f t="shared" si="71"/>
        <v xml:space="preserve"> </v>
      </c>
      <c r="Z71" s="74" t="str">
        <f t="shared" si="72"/>
        <v xml:space="preserve"> </v>
      </c>
      <c r="AA71" s="74" t="str">
        <f t="shared" si="73"/>
        <v xml:space="preserve"> </v>
      </c>
      <c r="AB71" s="75" t="str">
        <f t="shared" si="74"/>
        <v xml:space="preserve"> </v>
      </c>
      <c r="AC71" s="76" t="str">
        <f t="shared" si="75"/>
        <v xml:space="preserve"> </v>
      </c>
      <c r="AD71" s="73">
        <f t="shared" si="48"/>
        <v>0</v>
      </c>
      <c r="AE71" s="73" t="str">
        <f t="shared" si="49"/>
        <v xml:space="preserve"> </v>
      </c>
      <c r="AF71" s="154" t="e">
        <f t="shared" si="50"/>
        <v>#DIV/0!</v>
      </c>
      <c r="AG71" s="208" t="str">
        <f t="shared" si="51"/>
        <v xml:space="preserve"> </v>
      </c>
      <c r="AH71" s="208" t="str">
        <f t="shared" si="52"/>
        <v xml:space="preserve"> </v>
      </c>
      <c r="AI71" s="209" t="str">
        <f t="shared" si="38"/>
        <v xml:space="preserve"> </v>
      </c>
      <c r="AJ71" s="209" t="str">
        <f t="shared" si="39"/>
        <v xml:space="preserve"> </v>
      </c>
      <c r="AK71" s="209" t="str">
        <f t="shared" si="40"/>
        <v xml:space="preserve"> </v>
      </c>
      <c r="AL71" s="209" t="str">
        <f t="shared" si="41"/>
        <v xml:space="preserve"> </v>
      </c>
      <c r="AM71" s="209" t="str">
        <f t="shared" si="42"/>
        <v xml:space="preserve"> </v>
      </c>
      <c r="AN71" s="209"/>
      <c r="AO71" s="77"/>
      <c r="AP71" s="151">
        <f t="shared" si="76"/>
        <v>0</v>
      </c>
      <c r="AQ71" s="459"/>
      <c r="AR71" s="469"/>
      <c r="AS71" s="152"/>
      <c r="AT71" s="244" t="str">
        <f t="shared" si="77"/>
        <v xml:space="preserve"> </v>
      </c>
      <c r="AU71" s="245" t="str">
        <f t="shared" si="78"/>
        <v xml:space="preserve"> </v>
      </c>
      <c r="AV71" s="245" t="str">
        <f t="shared" si="79"/>
        <v xml:space="preserve"> </v>
      </c>
      <c r="AW71" s="245" t="str">
        <f t="shared" si="80"/>
        <v xml:space="preserve"> </v>
      </c>
      <c r="AX71" s="245" t="str">
        <f t="shared" si="81"/>
        <v xml:space="preserve"> </v>
      </c>
      <c r="AY71" s="545" t="str">
        <f t="shared" si="82"/>
        <v xml:space="preserve"> </v>
      </c>
      <c r="AZ71" s="246" t="str">
        <f t="shared" si="83"/>
        <v xml:space="preserve"> </v>
      </c>
      <c r="BA71" s="73">
        <f t="shared" si="84"/>
        <v>0</v>
      </c>
      <c r="BB71" s="73" t="str">
        <f t="shared" si="85"/>
        <v xml:space="preserve"> </v>
      </c>
      <c r="BC71" s="210" t="str">
        <f t="shared" si="43"/>
        <v xml:space="preserve"> </v>
      </c>
      <c r="BD71" s="210" t="str">
        <f t="shared" si="61"/>
        <v xml:space="preserve"> </v>
      </c>
      <c r="BE71" s="157" t="str">
        <f t="shared" si="86"/>
        <v xml:space="preserve"> </v>
      </c>
      <c r="BF71" s="157" t="str">
        <f t="shared" si="87"/>
        <v xml:space="preserve"> </v>
      </c>
      <c r="BG71" s="157" t="str">
        <f t="shared" si="88"/>
        <v xml:space="preserve"> </v>
      </c>
      <c r="BH71" s="157" t="str">
        <f t="shared" si="89"/>
        <v xml:space="preserve"> </v>
      </c>
      <c r="BI71" s="211" t="str">
        <f t="shared" si="90"/>
        <v xml:space="preserve"> </v>
      </c>
      <c r="BJ71" s="248"/>
      <c r="BK71" s="248"/>
    </row>
    <row r="72" spans="1:63" ht="12.75" customHeight="1" collapsed="1" thickBot="1">
      <c r="A72" s="248"/>
      <c r="B72" s="248"/>
      <c r="C72" s="267" t="s">
        <v>52</v>
      </c>
      <c r="D72" s="418" t="s">
        <v>20</v>
      </c>
      <c r="E72" s="492">
        <v>0.14000000000000001</v>
      </c>
      <c r="F72" s="419">
        <v>0.86</v>
      </c>
      <c r="G72" s="283">
        <v>0.98</v>
      </c>
      <c r="H72" s="284">
        <f>+E72*100/0.65</f>
        <v>21.53846153846154</v>
      </c>
      <c r="I72" s="286">
        <v>3.5</v>
      </c>
      <c r="J72" s="286">
        <v>5</v>
      </c>
      <c r="K72" s="286"/>
      <c r="L72" s="286">
        <v>0</v>
      </c>
      <c r="M72" s="257">
        <v>380</v>
      </c>
      <c r="N72" s="291">
        <v>0.52</v>
      </c>
      <c r="O72" s="294" t="str">
        <f t="shared" si="45"/>
        <v xml:space="preserve"> </v>
      </c>
      <c r="P72" s="314" t="str">
        <f t="shared" si="46"/>
        <v xml:space="preserve"> </v>
      </c>
      <c r="Q72" s="311" t="str">
        <f t="shared" si="47"/>
        <v xml:space="preserve"> </v>
      </c>
      <c r="R72" s="250"/>
      <c r="S72" s="458">
        <f t="shared" si="68"/>
        <v>0</v>
      </c>
      <c r="T72" s="463"/>
      <c r="U72" s="464"/>
      <c r="V72" s="152"/>
      <c r="W72" s="153" t="str">
        <f t="shared" si="69"/>
        <v xml:space="preserve"> </v>
      </c>
      <c r="X72" s="74" t="str">
        <f t="shared" si="70"/>
        <v xml:space="preserve"> </v>
      </c>
      <c r="Y72" s="74" t="str">
        <f t="shared" si="71"/>
        <v xml:space="preserve"> </v>
      </c>
      <c r="Z72" s="74" t="str">
        <f t="shared" si="72"/>
        <v xml:space="preserve"> </v>
      </c>
      <c r="AA72" s="74" t="str">
        <f t="shared" si="73"/>
        <v xml:space="preserve"> </v>
      </c>
      <c r="AB72" s="75" t="str">
        <f t="shared" si="74"/>
        <v xml:space="preserve"> </v>
      </c>
      <c r="AC72" s="76" t="str">
        <f t="shared" si="75"/>
        <v xml:space="preserve"> </v>
      </c>
      <c r="AD72" s="73">
        <f t="shared" si="48"/>
        <v>0</v>
      </c>
      <c r="AE72" s="73" t="str">
        <f t="shared" si="49"/>
        <v xml:space="preserve"> </v>
      </c>
      <c r="AF72" s="154">
        <f t="shared" si="50"/>
        <v>0.94123076923076909</v>
      </c>
      <c r="AG72" s="208" t="str">
        <f t="shared" si="51"/>
        <v xml:space="preserve"> </v>
      </c>
      <c r="AH72" s="208" t="str">
        <f t="shared" si="52"/>
        <v xml:space="preserve"> </v>
      </c>
      <c r="AI72" s="209" t="str">
        <f t="shared" si="38"/>
        <v xml:space="preserve"> </v>
      </c>
      <c r="AJ72" s="209" t="str">
        <f t="shared" si="39"/>
        <v xml:space="preserve"> </v>
      </c>
      <c r="AK72" s="209" t="str">
        <f t="shared" si="40"/>
        <v xml:space="preserve"> </v>
      </c>
      <c r="AL72" s="209" t="str">
        <f t="shared" si="41"/>
        <v xml:space="preserve"> </v>
      </c>
      <c r="AM72" s="209" t="str">
        <f t="shared" si="42"/>
        <v xml:space="preserve"> </v>
      </c>
      <c r="AN72" s="209"/>
      <c r="AO72" s="77"/>
      <c r="AP72" s="458">
        <f t="shared" si="76"/>
        <v>0</v>
      </c>
      <c r="AQ72" s="463"/>
      <c r="AR72" s="464"/>
      <c r="AS72" s="152"/>
      <c r="AT72" s="244" t="str">
        <f t="shared" si="77"/>
        <v xml:space="preserve"> </v>
      </c>
      <c r="AU72" s="245" t="str">
        <f t="shared" si="78"/>
        <v xml:space="preserve"> </v>
      </c>
      <c r="AV72" s="245" t="str">
        <f t="shared" si="79"/>
        <v xml:space="preserve"> </v>
      </c>
      <c r="AW72" s="245" t="str">
        <f t="shared" si="80"/>
        <v xml:space="preserve"> </v>
      </c>
      <c r="AX72" s="245" t="str">
        <f t="shared" si="81"/>
        <v xml:space="preserve"> </v>
      </c>
      <c r="AY72" s="545" t="str">
        <f t="shared" si="82"/>
        <v xml:space="preserve"> </v>
      </c>
      <c r="AZ72" s="246" t="str">
        <f t="shared" si="83"/>
        <v xml:space="preserve"> </v>
      </c>
      <c r="BA72" s="73">
        <f t="shared" si="84"/>
        <v>0</v>
      </c>
      <c r="BB72" s="73" t="str">
        <f t="shared" si="85"/>
        <v xml:space="preserve"> </v>
      </c>
      <c r="BC72" s="210" t="str">
        <f t="shared" si="43"/>
        <v xml:space="preserve"> </v>
      </c>
      <c r="BD72" s="210" t="str">
        <f t="shared" si="61"/>
        <v xml:space="preserve"> </v>
      </c>
      <c r="BE72" s="157" t="str">
        <f t="shared" si="86"/>
        <v xml:space="preserve"> </v>
      </c>
      <c r="BF72" s="157" t="str">
        <f t="shared" si="87"/>
        <v xml:space="preserve"> </v>
      </c>
      <c r="BG72" s="157" t="str">
        <f t="shared" si="88"/>
        <v xml:space="preserve"> </v>
      </c>
      <c r="BH72" s="157" t="str">
        <f t="shared" si="89"/>
        <v xml:space="preserve"> </v>
      </c>
      <c r="BI72" s="211" t="str">
        <f t="shared" si="90"/>
        <v xml:space="preserve"> </v>
      </c>
      <c r="BJ72" s="248"/>
      <c r="BK72" s="248"/>
    </row>
    <row r="73" spans="1:63" ht="12.75" customHeight="1" thickBot="1">
      <c r="A73" s="248"/>
      <c r="B73" s="248"/>
      <c r="C73" s="267" t="s">
        <v>53</v>
      </c>
      <c r="D73" s="418" t="s">
        <v>20</v>
      </c>
      <c r="E73" s="493">
        <v>0.12</v>
      </c>
      <c r="F73" s="419">
        <v>0.86</v>
      </c>
      <c r="G73" s="283">
        <v>0.98</v>
      </c>
      <c r="H73" s="284">
        <f>+E73*100/0.65</f>
        <v>18.46153846153846</v>
      </c>
      <c r="I73" s="286">
        <v>3.5</v>
      </c>
      <c r="J73" s="286">
        <v>5</v>
      </c>
      <c r="K73" s="286"/>
      <c r="L73" s="286">
        <v>0</v>
      </c>
      <c r="M73" s="257">
        <v>380</v>
      </c>
      <c r="N73" s="291">
        <v>0.52</v>
      </c>
      <c r="O73" s="294" t="str">
        <f t="shared" si="45"/>
        <v xml:space="preserve"> </v>
      </c>
      <c r="P73" s="314" t="str">
        <f t="shared" si="46"/>
        <v xml:space="preserve"> </v>
      </c>
      <c r="Q73" s="311" t="str">
        <f t="shared" si="47"/>
        <v xml:space="preserve"> </v>
      </c>
      <c r="R73" s="250"/>
      <c r="S73" s="458">
        <f t="shared" si="68"/>
        <v>0</v>
      </c>
      <c r="T73" s="465"/>
      <c r="U73" s="466"/>
      <c r="V73" s="152"/>
      <c r="W73" s="153" t="str">
        <f t="shared" si="69"/>
        <v xml:space="preserve"> </v>
      </c>
      <c r="X73" s="74" t="str">
        <f t="shared" si="70"/>
        <v xml:space="preserve"> </v>
      </c>
      <c r="Y73" s="74" t="str">
        <f t="shared" si="71"/>
        <v xml:space="preserve"> </v>
      </c>
      <c r="Z73" s="74" t="str">
        <f t="shared" si="72"/>
        <v xml:space="preserve"> </v>
      </c>
      <c r="AA73" s="74" t="str">
        <f t="shared" si="73"/>
        <v xml:space="preserve"> </v>
      </c>
      <c r="AB73" s="75" t="str">
        <f t="shared" si="74"/>
        <v xml:space="preserve"> </v>
      </c>
      <c r="AC73" s="76" t="str">
        <f t="shared" si="75"/>
        <v xml:space="preserve"> </v>
      </c>
      <c r="AD73" s="73">
        <f t="shared" si="48"/>
        <v>0</v>
      </c>
      <c r="AE73" s="73" t="str">
        <f t="shared" si="49"/>
        <v xml:space="preserve"> </v>
      </c>
      <c r="AF73" s="154">
        <f t="shared" si="50"/>
        <v>0.94123076923076909</v>
      </c>
      <c r="AG73" s="208" t="str">
        <f t="shared" si="51"/>
        <v xml:space="preserve"> </v>
      </c>
      <c r="AH73" s="208" t="str">
        <f t="shared" si="52"/>
        <v xml:space="preserve"> </v>
      </c>
      <c r="AI73" s="209" t="str">
        <f t="shared" si="38"/>
        <v xml:space="preserve"> </v>
      </c>
      <c r="AJ73" s="209" t="str">
        <f t="shared" si="39"/>
        <v xml:space="preserve"> </v>
      </c>
      <c r="AK73" s="209" t="str">
        <f t="shared" si="40"/>
        <v xml:space="preserve"> </v>
      </c>
      <c r="AL73" s="209" t="str">
        <f t="shared" si="41"/>
        <v xml:space="preserve"> </v>
      </c>
      <c r="AM73" s="209" t="str">
        <f t="shared" si="42"/>
        <v xml:space="preserve"> </v>
      </c>
      <c r="AN73" s="209"/>
      <c r="AO73" s="77"/>
      <c r="AP73" s="458">
        <f t="shared" si="76"/>
        <v>0</v>
      </c>
      <c r="AQ73" s="465"/>
      <c r="AR73" s="466"/>
      <c r="AS73" s="152"/>
      <c r="AT73" s="244" t="str">
        <f t="shared" si="77"/>
        <v xml:space="preserve"> </v>
      </c>
      <c r="AU73" s="245" t="str">
        <f t="shared" si="78"/>
        <v xml:space="preserve"> </v>
      </c>
      <c r="AV73" s="245" t="str">
        <f t="shared" si="79"/>
        <v xml:space="preserve"> </v>
      </c>
      <c r="AW73" s="245" t="str">
        <f t="shared" si="80"/>
        <v xml:space="preserve"> </v>
      </c>
      <c r="AX73" s="245" t="str">
        <f t="shared" si="81"/>
        <v xml:space="preserve"> </v>
      </c>
      <c r="AY73" s="545" t="str">
        <f t="shared" si="82"/>
        <v xml:space="preserve"> </v>
      </c>
      <c r="AZ73" s="246" t="str">
        <f t="shared" si="83"/>
        <v xml:space="preserve"> </v>
      </c>
      <c r="BA73" s="73">
        <f t="shared" si="84"/>
        <v>0</v>
      </c>
      <c r="BB73" s="73" t="str">
        <f t="shared" si="85"/>
        <v xml:space="preserve"> </v>
      </c>
      <c r="BC73" s="210" t="str">
        <f t="shared" si="43"/>
        <v xml:space="preserve"> </v>
      </c>
      <c r="BD73" s="210" t="str">
        <f t="shared" si="61"/>
        <v xml:space="preserve"> </v>
      </c>
      <c r="BE73" s="157" t="str">
        <f t="shared" si="86"/>
        <v xml:space="preserve"> </v>
      </c>
      <c r="BF73" s="157" t="str">
        <f t="shared" si="87"/>
        <v xml:space="preserve"> </v>
      </c>
      <c r="BG73" s="157" t="str">
        <f t="shared" si="88"/>
        <v xml:space="preserve"> </v>
      </c>
      <c r="BH73" s="157" t="str">
        <f t="shared" si="89"/>
        <v xml:space="preserve"> </v>
      </c>
      <c r="BI73" s="211" t="str">
        <f t="shared" si="90"/>
        <v xml:space="preserve"> </v>
      </c>
      <c r="BJ73" s="248"/>
      <c r="BK73" s="248"/>
    </row>
    <row r="74" spans="1:63" ht="12.75" customHeight="1" thickBot="1">
      <c r="A74" s="248"/>
      <c r="B74" s="248"/>
      <c r="C74" s="267" t="s">
        <v>54</v>
      </c>
      <c r="D74" s="418" t="s">
        <v>20</v>
      </c>
      <c r="E74" s="493">
        <v>0.12</v>
      </c>
      <c r="F74" s="419">
        <v>0.86</v>
      </c>
      <c r="G74" s="283">
        <v>0.98</v>
      </c>
      <c r="H74" s="284">
        <f>+E74*100/0.65</f>
        <v>18.46153846153846</v>
      </c>
      <c r="I74" s="286">
        <v>3.5</v>
      </c>
      <c r="J74" s="286">
        <v>5</v>
      </c>
      <c r="K74" s="286"/>
      <c r="L74" s="286">
        <v>0</v>
      </c>
      <c r="M74" s="257">
        <v>380</v>
      </c>
      <c r="N74" s="291">
        <v>0.52</v>
      </c>
      <c r="O74" s="294" t="str">
        <f t="shared" si="45"/>
        <v xml:space="preserve"> </v>
      </c>
      <c r="P74" s="314" t="str">
        <f t="shared" si="46"/>
        <v xml:space="preserve"> </v>
      </c>
      <c r="Q74" s="311" t="str">
        <f t="shared" si="47"/>
        <v xml:space="preserve"> </v>
      </c>
      <c r="R74" s="250"/>
      <c r="S74" s="458">
        <f t="shared" si="68"/>
        <v>0</v>
      </c>
      <c r="T74" s="465"/>
      <c r="U74" s="466"/>
      <c r="V74" s="152"/>
      <c r="W74" s="153" t="str">
        <f t="shared" si="69"/>
        <v xml:space="preserve"> </v>
      </c>
      <c r="X74" s="74" t="str">
        <f t="shared" si="70"/>
        <v xml:space="preserve"> </v>
      </c>
      <c r="Y74" s="74" t="str">
        <f t="shared" si="71"/>
        <v xml:space="preserve"> </v>
      </c>
      <c r="Z74" s="74" t="str">
        <f t="shared" si="72"/>
        <v xml:space="preserve"> </v>
      </c>
      <c r="AA74" s="74" t="str">
        <f t="shared" si="73"/>
        <v xml:space="preserve"> </v>
      </c>
      <c r="AB74" s="75" t="str">
        <f t="shared" si="74"/>
        <v xml:space="preserve"> </v>
      </c>
      <c r="AC74" s="76" t="str">
        <f t="shared" si="75"/>
        <v xml:space="preserve"> </v>
      </c>
      <c r="AD74" s="73">
        <f t="shared" si="48"/>
        <v>0</v>
      </c>
      <c r="AE74" s="73" t="str">
        <f t="shared" si="49"/>
        <v xml:space="preserve"> </v>
      </c>
      <c r="AF74" s="154">
        <f t="shared" si="50"/>
        <v>0.94123076923076909</v>
      </c>
      <c r="AG74" s="208" t="str">
        <f t="shared" si="51"/>
        <v xml:space="preserve"> </v>
      </c>
      <c r="AH74" s="208" t="str">
        <f t="shared" si="52"/>
        <v xml:space="preserve"> </v>
      </c>
      <c r="AI74" s="209" t="str">
        <f t="shared" si="38"/>
        <v xml:space="preserve"> </v>
      </c>
      <c r="AJ74" s="209" t="str">
        <f t="shared" si="39"/>
        <v xml:space="preserve"> </v>
      </c>
      <c r="AK74" s="209" t="str">
        <f t="shared" si="40"/>
        <v xml:space="preserve"> </v>
      </c>
      <c r="AL74" s="209" t="str">
        <f t="shared" si="41"/>
        <v xml:space="preserve"> </v>
      </c>
      <c r="AM74" s="209" t="str">
        <f t="shared" si="42"/>
        <v xml:space="preserve"> </v>
      </c>
      <c r="AN74" s="209"/>
      <c r="AO74" s="77"/>
      <c r="AP74" s="458">
        <f t="shared" si="76"/>
        <v>0</v>
      </c>
      <c r="AQ74" s="465"/>
      <c r="AR74" s="466"/>
      <c r="AS74" s="152"/>
      <c r="AT74" s="244" t="str">
        <f t="shared" si="77"/>
        <v xml:space="preserve"> </v>
      </c>
      <c r="AU74" s="245" t="str">
        <f t="shared" si="78"/>
        <v xml:space="preserve"> </v>
      </c>
      <c r="AV74" s="245" t="str">
        <f t="shared" si="79"/>
        <v xml:space="preserve"> </v>
      </c>
      <c r="AW74" s="245" t="str">
        <f t="shared" si="80"/>
        <v xml:space="preserve"> </v>
      </c>
      <c r="AX74" s="245" t="str">
        <f t="shared" si="81"/>
        <v xml:space="preserve"> </v>
      </c>
      <c r="AY74" s="545" t="str">
        <f t="shared" si="82"/>
        <v xml:space="preserve"> </v>
      </c>
      <c r="AZ74" s="246" t="str">
        <f t="shared" si="83"/>
        <v xml:space="preserve"> </v>
      </c>
      <c r="BA74" s="73">
        <f t="shared" si="84"/>
        <v>0</v>
      </c>
      <c r="BB74" s="73" t="str">
        <f t="shared" si="85"/>
        <v xml:space="preserve"> </v>
      </c>
      <c r="BC74" s="210" t="str">
        <f t="shared" si="43"/>
        <v xml:space="preserve"> </v>
      </c>
      <c r="BD74" s="210" t="str">
        <f t="shared" si="61"/>
        <v xml:space="preserve"> </v>
      </c>
      <c r="BE74" s="157" t="str">
        <f t="shared" si="86"/>
        <v xml:space="preserve"> </v>
      </c>
      <c r="BF74" s="157" t="str">
        <f t="shared" si="87"/>
        <v xml:space="preserve"> </v>
      </c>
      <c r="BG74" s="157" t="str">
        <f t="shared" si="88"/>
        <v xml:space="preserve"> </v>
      </c>
      <c r="BH74" s="157" t="str">
        <f t="shared" si="89"/>
        <v xml:space="preserve"> </v>
      </c>
      <c r="BI74" s="211" t="str">
        <f t="shared" si="90"/>
        <v xml:space="preserve"> </v>
      </c>
      <c r="BJ74" s="248"/>
      <c r="BK74" s="248"/>
    </row>
    <row r="75" spans="1:63" ht="12.75" customHeight="1" thickBot="1">
      <c r="A75" s="248"/>
      <c r="B75" s="248"/>
      <c r="C75" s="406" t="s">
        <v>55</v>
      </c>
      <c r="D75" s="418" t="s">
        <v>20</v>
      </c>
      <c r="E75" s="494">
        <v>0.13</v>
      </c>
      <c r="F75" s="419">
        <v>0.86</v>
      </c>
      <c r="G75" s="283">
        <v>0.98</v>
      </c>
      <c r="H75" s="284">
        <f>+E75*100/0.65</f>
        <v>20</v>
      </c>
      <c r="I75" s="286">
        <v>3.5</v>
      </c>
      <c r="J75" s="286">
        <v>5</v>
      </c>
      <c r="K75" s="286"/>
      <c r="L75" s="286">
        <v>0</v>
      </c>
      <c r="M75" s="257">
        <v>380</v>
      </c>
      <c r="N75" s="291">
        <v>0.52</v>
      </c>
      <c r="O75" s="294">
        <f t="shared" si="45"/>
        <v>0.68493150684931503</v>
      </c>
      <c r="P75" s="314">
        <f t="shared" si="46"/>
        <v>0.87</v>
      </c>
      <c r="Q75" s="311" t="str">
        <f t="shared" si="47"/>
        <v xml:space="preserve"> </v>
      </c>
      <c r="R75" s="250"/>
      <c r="S75" s="458">
        <f t="shared" si="68"/>
        <v>0.68493150684931503</v>
      </c>
      <c r="T75" s="465">
        <v>250</v>
      </c>
      <c r="U75" s="466">
        <v>0.87</v>
      </c>
      <c r="V75" s="152"/>
      <c r="W75" s="153">
        <f t="shared" si="69"/>
        <v>0.98</v>
      </c>
      <c r="X75" s="74">
        <f t="shared" si="70"/>
        <v>20.232558139534884</v>
      </c>
      <c r="Y75" s="74">
        <f t="shared" si="71"/>
        <v>3.5406976744186047</v>
      </c>
      <c r="Z75" s="74">
        <f t="shared" si="72"/>
        <v>5.058139534883721</v>
      </c>
      <c r="AA75" s="74">
        <f t="shared" si="73"/>
        <v>0</v>
      </c>
      <c r="AB75" s="75">
        <f t="shared" si="74"/>
        <v>380</v>
      </c>
      <c r="AC75" s="76">
        <f t="shared" si="75"/>
        <v>0.52</v>
      </c>
      <c r="AD75" s="73">
        <f t="shared" si="48"/>
        <v>0.59589041095890405</v>
      </c>
      <c r="AE75" s="73">
        <f t="shared" si="49"/>
        <v>0.58397260273972595</v>
      </c>
      <c r="AF75" s="154">
        <f t="shared" si="50"/>
        <v>0.94123076923076909</v>
      </c>
      <c r="AG75" s="208">
        <f t="shared" si="51"/>
        <v>221.90958904109587</v>
      </c>
      <c r="AH75" s="208">
        <f t="shared" si="52"/>
        <v>426.74920969441513</v>
      </c>
      <c r="AI75" s="209">
        <f t="shared" si="38"/>
        <v>13.857916533928002</v>
      </c>
      <c r="AJ75" s="209">
        <f t="shared" si="39"/>
        <v>2.4251353934374005</v>
      </c>
      <c r="AK75" s="209">
        <f t="shared" si="40"/>
        <v>3.4644791334820004</v>
      </c>
      <c r="AL75" s="209">
        <f t="shared" si="41"/>
        <v>0</v>
      </c>
      <c r="AM75" s="209">
        <f t="shared" si="42"/>
        <v>0</v>
      </c>
      <c r="AN75" s="209"/>
      <c r="AO75" s="77"/>
      <c r="AP75" s="458">
        <f t="shared" si="76"/>
        <v>0</v>
      </c>
      <c r="AQ75" s="465"/>
      <c r="AR75" s="466"/>
      <c r="AS75" s="152"/>
      <c r="AT75" s="244" t="str">
        <f t="shared" si="77"/>
        <v xml:space="preserve"> </v>
      </c>
      <c r="AU75" s="245" t="str">
        <f t="shared" si="78"/>
        <v xml:space="preserve"> </v>
      </c>
      <c r="AV75" s="245" t="str">
        <f t="shared" si="79"/>
        <v xml:space="preserve"> </v>
      </c>
      <c r="AW75" s="245" t="str">
        <f t="shared" si="80"/>
        <v xml:space="preserve"> </v>
      </c>
      <c r="AX75" s="245" t="str">
        <f t="shared" si="81"/>
        <v xml:space="preserve"> </v>
      </c>
      <c r="AY75" s="545" t="str">
        <f t="shared" si="82"/>
        <v xml:space="preserve"> </v>
      </c>
      <c r="AZ75" s="246" t="str">
        <f t="shared" si="83"/>
        <v xml:space="preserve"> </v>
      </c>
      <c r="BA75" s="73">
        <f t="shared" si="84"/>
        <v>0</v>
      </c>
      <c r="BB75" s="73" t="str">
        <f t="shared" si="85"/>
        <v xml:space="preserve"> </v>
      </c>
      <c r="BC75" s="210" t="str">
        <f t="shared" si="43"/>
        <v xml:space="preserve"> </v>
      </c>
      <c r="BD75" s="210" t="str">
        <f t="shared" si="61"/>
        <v xml:space="preserve"> </v>
      </c>
      <c r="BE75" s="157" t="str">
        <f t="shared" si="86"/>
        <v xml:space="preserve"> </v>
      </c>
      <c r="BF75" s="157" t="str">
        <f t="shared" si="87"/>
        <v xml:space="preserve"> </v>
      </c>
      <c r="BG75" s="157" t="str">
        <f t="shared" si="88"/>
        <v xml:space="preserve"> </v>
      </c>
      <c r="BH75" s="157" t="str">
        <f t="shared" si="89"/>
        <v xml:space="preserve"> </v>
      </c>
      <c r="BI75" s="211" t="str">
        <f t="shared" si="90"/>
        <v xml:space="preserve"> </v>
      </c>
      <c r="BJ75" s="248"/>
      <c r="BK75" s="248"/>
    </row>
    <row r="76" spans="1:63" ht="12.75" customHeight="1" thickBot="1">
      <c r="A76" s="248"/>
      <c r="B76" s="248"/>
      <c r="C76" s="267" t="s">
        <v>112</v>
      </c>
      <c r="D76" s="258"/>
      <c r="E76" s="421"/>
      <c r="F76" s="282">
        <v>0.86</v>
      </c>
      <c r="G76" s="283">
        <v>0.95</v>
      </c>
      <c r="H76" s="285">
        <v>5</v>
      </c>
      <c r="I76" s="285">
        <v>1.3</v>
      </c>
      <c r="J76" s="285">
        <v>16.600000000000001</v>
      </c>
      <c r="K76" s="285">
        <v>1.2</v>
      </c>
      <c r="L76" s="255">
        <v>0</v>
      </c>
      <c r="M76" s="257">
        <v>210</v>
      </c>
      <c r="N76" s="291">
        <v>0.52</v>
      </c>
      <c r="O76" s="294" t="str">
        <f t="shared" si="45"/>
        <v xml:space="preserve"> </v>
      </c>
      <c r="P76" s="314" t="str">
        <f t="shared" si="46"/>
        <v xml:space="preserve"> </v>
      </c>
      <c r="Q76" s="311" t="str">
        <f t="shared" si="47"/>
        <v xml:space="preserve"> </v>
      </c>
      <c r="R76" s="250"/>
      <c r="S76" s="458">
        <f t="shared" si="68"/>
        <v>0</v>
      </c>
      <c r="T76" s="465"/>
      <c r="U76" s="466"/>
      <c r="V76" s="152"/>
      <c r="W76" s="153" t="str">
        <f t="shared" si="69"/>
        <v xml:space="preserve"> </v>
      </c>
      <c r="X76" s="74" t="str">
        <f t="shared" si="70"/>
        <v xml:space="preserve"> </v>
      </c>
      <c r="Y76" s="74" t="str">
        <f t="shared" si="71"/>
        <v xml:space="preserve"> </v>
      </c>
      <c r="Z76" s="74" t="str">
        <f t="shared" si="72"/>
        <v xml:space="preserve"> </v>
      </c>
      <c r="AA76" s="74" t="str">
        <f t="shared" si="73"/>
        <v xml:space="preserve"> </v>
      </c>
      <c r="AB76" s="75" t="str">
        <f t="shared" si="74"/>
        <v xml:space="preserve"> </v>
      </c>
      <c r="AC76" s="76" t="str">
        <f t="shared" si="75"/>
        <v xml:space="preserve"> </v>
      </c>
      <c r="AD76" s="73">
        <f t="shared" si="48"/>
        <v>0</v>
      </c>
      <c r="AE76" s="73" t="str">
        <f t="shared" si="49"/>
        <v xml:space="preserve"> </v>
      </c>
      <c r="AF76" s="154">
        <f t="shared" si="50"/>
        <v>0.50423076923076915</v>
      </c>
      <c r="AG76" s="208" t="str">
        <f t="shared" si="51"/>
        <v xml:space="preserve"> </v>
      </c>
      <c r="AH76" s="208" t="str">
        <f t="shared" si="52"/>
        <v xml:space="preserve"> </v>
      </c>
      <c r="AI76" s="209" t="str">
        <f t="shared" ref="AI76:AI82" si="91">IF($S76&gt;0,$S76*X76," ")</f>
        <v xml:space="preserve"> </v>
      </c>
      <c r="AJ76" s="209" t="str">
        <f t="shared" ref="AJ76:AJ82" si="92">IF($S76&gt;0,$S76*Y76," ")</f>
        <v xml:space="preserve"> </v>
      </c>
      <c r="AK76" s="209" t="str">
        <f t="shared" ref="AK76:AK82" si="93">IF($S76&gt;0,$S76*Z76," ")</f>
        <v xml:space="preserve"> </v>
      </c>
      <c r="AL76" s="209" t="str">
        <f t="shared" ref="AL76:AL82" si="94">IF($S76&gt;0,$S76*AA76," ")</f>
        <v xml:space="preserve"> </v>
      </c>
      <c r="AM76" s="209" t="str">
        <f t="shared" ref="AM76:AM82" si="95">IF(S76&gt;0,S76*V76*365/1000," ")</f>
        <v xml:space="preserve"> </v>
      </c>
      <c r="AN76" s="209"/>
      <c r="AO76" s="77"/>
      <c r="AP76" s="458">
        <f t="shared" si="76"/>
        <v>0</v>
      </c>
      <c r="AQ76" s="465"/>
      <c r="AR76" s="466"/>
      <c r="AS76" s="152"/>
      <c r="AT76" s="244" t="str">
        <f t="shared" si="77"/>
        <v xml:space="preserve"> </v>
      </c>
      <c r="AU76" s="245" t="str">
        <f t="shared" si="78"/>
        <v xml:space="preserve"> </v>
      </c>
      <c r="AV76" s="245" t="str">
        <f t="shared" si="79"/>
        <v xml:space="preserve"> </v>
      </c>
      <c r="AW76" s="245" t="str">
        <f t="shared" si="80"/>
        <v xml:space="preserve"> </v>
      </c>
      <c r="AX76" s="245" t="str">
        <f t="shared" si="81"/>
        <v xml:space="preserve"> </v>
      </c>
      <c r="AY76" s="545" t="str">
        <f t="shared" si="82"/>
        <v xml:space="preserve"> </v>
      </c>
      <c r="AZ76" s="246" t="str">
        <f t="shared" si="83"/>
        <v xml:space="preserve"> </v>
      </c>
      <c r="BA76" s="73">
        <f t="shared" si="84"/>
        <v>0</v>
      </c>
      <c r="BB76" s="73" t="str">
        <f t="shared" si="85"/>
        <v xml:space="preserve"> </v>
      </c>
      <c r="BC76" s="210" t="str">
        <f t="shared" si="43"/>
        <v xml:space="preserve"> </v>
      </c>
      <c r="BD76" s="210" t="str">
        <f t="shared" si="61"/>
        <v xml:space="preserve"> </v>
      </c>
      <c r="BE76" s="157" t="str">
        <f t="shared" si="86"/>
        <v xml:space="preserve"> </v>
      </c>
      <c r="BF76" s="157" t="str">
        <f t="shared" si="87"/>
        <v xml:space="preserve"> </v>
      </c>
      <c r="BG76" s="157" t="str">
        <f t="shared" si="88"/>
        <v xml:space="preserve"> </v>
      </c>
      <c r="BH76" s="157" t="str">
        <f t="shared" si="89"/>
        <v xml:space="preserve"> </v>
      </c>
      <c r="BI76" s="211" t="str">
        <f t="shared" si="90"/>
        <v xml:space="preserve"> </v>
      </c>
      <c r="BJ76" s="248"/>
      <c r="BK76" s="248"/>
    </row>
    <row r="77" spans="1:63" ht="12.75" customHeight="1" thickBot="1">
      <c r="A77" s="248"/>
      <c r="B77" s="248"/>
      <c r="C77" s="267" t="s">
        <v>213</v>
      </c>
      <c r="D77" s="258" t="s">
        <v>202</v>
      </c>
      <c r="E77" s="408"/>
      <c r="F77" s="282">
        <v>0.5</v>
      </c>
      <c r="G77" s="283">
        <v>0.9</v>
      </c>
      <c r="H77" s="285">
        <v>7</v>
      </c>
      <c r="I77" s="285">
        <v>1.5</v>
      </c>
      <c r="J77" s="285">
        <v>5.0999999999999996</v>
      </c>
      <c r="K77" s="285">
        <v>1.3</v>
      </c>
      <c r="L77" s="255">
        <v>0</v>
      </c>
      <c r="M77" s="257">
        <v>330</v>
      </c>
      <c r="N77" s="291">
        <v>0.53</v>
      </c>
      <c r="O77" s="294" t="str">
        <f t="shared" si="45"/>
        <v xml:space="preserve"> </v>
      </c>
      <c r="P77" s="314" t="str">
        <f t="shared" si="46"/>
        <v xml:space="preserve"> </v>
      </c>
      <c r="Q77" s="311" t="str">
        <f t="shared" si="47"/>
        <v xml:space="preserve"> </v>
      </c>
      <c r="R77" s="250"/>
      <c r="S77" s="458">
        <f t="shared" si="68"/>
        <v>0</v>
      </c>
      <c r="T77" s="465"/>
      <c r="U77" s="466"/>
      <c r="V77" s="152"/>
      <c r="W77" s="153" t="str">
        <f t="shared" si="69"/>
        <v xml:space="preserve"> </v>
      </c>
      <c r="X77" s="74" t="str">
        <f t="shared" si="70"/>
        <v xml:space="preserve"> </v>
      </c>
      <c r="Y77" s="74" t="str">
        <f t="shared" si="71"/>
        <v xml:space="preserve"> </v>
      </c>
      <c r="Z77" s="74" t="str">
        <f t="shared" si="72"/>
        <v xml:space="preserve"> </v>
      </c>
      <c r="AA77" s="74" t="str">
        <f t="shared" si="73"/>
        <v xml:space="preserve"> </v>
      </c>
      <c r="AB77" s="75" t="str">
        <f t="shared" si="74"/>
        <v xml:space="preserve"> </v>
      </c>
      <c r="AC77" s="76" t="str">
        <f t="shared" si="75"/>
        <v xml:space="preserve"> </v>
      </c>
      <c r="AD77" s="73">
        <f t="shared" si="48"/>
        <v>0</v>
      </c>
      <c r="AE77" s="73" t="str">
        <f t="shared" si="49"/>
        <v xml:space="preserve"> </v>
      </c>
      <c r="AF77" s="154">
        <f t="shared" si="50"/>
        <v>0.72949123989218334</v>
      </c>
      <c r="AG77" s="208" t="str">
        <f t="shared" si="51"/>
        <v xml:space="preserve"> </v>
      </c>
      <c r="AH77" s="208" t="str">
        <f t="shared" si="52"/>
        <v xml:space="preserve"> </v>
      </c>
      <c r="AI77" s="209" t="str">
        <f t="shared" si="91"/>
        <v xml:space="preserve"> </v>
      </c>
      <c r="AJ77" s="209" t="str">
        <f t="shared" si="92"/>
        <v xml:space="preserve"> </v>
      </c>
      <c r="AK77" s="209" t="str">
        <f t="shared" si="93"/>
        <v xml:space="preserve"> </v>
      </c>
      <c r="AL77" s="209" t="str">
        <f t="shared" si="94"/>
        <v xml:space="preserve"> </v>
      </c>
      <c r="AM77" s="209" t="str">
        <f t="shared" si="95"/>
        <v xml:space="preserve"> </v>
      </c>
      <c r="AN77" s="209"/>
      <c r="AO77" s="77"/>
      <c r="AP77" s="458">
        <f t="shared" si="76"/>
        <v>0</v>
      </c>
      <c r="AQ77" s="465"/>
      <c r="AR77" s="466"/>
      <c r="AS77" s="152"/>
      <c r="AT77" s="244" t="str">
        <f t="shared" si="77"/>
        <v xml:space="preserve"> </v>
      </c>
      <c r="AU77" s="245" t="str">
        <f t="shared" si="78"/>
        <v xml:space="preserve"> </v>
      </c>
      <c r="AV77" s="245" t="str">
        <f t="shared" si="79"/>
        <v xml:space="preserve"> </v>
      </c>
      <c r="AW77" s="245" t="str">
        <f t="shared" si="80"/>
        <v xml:space="preserve"> </v>
      </c>
      <c r="AX77" s="245" t="str">
        <f t="shared" si="81"/>
        <v xml:space="preserve"> </v>
      </c>
      <c r="AY77" s="545" t="str">
        <f t="shared" si="82"/>
        <v xml:space="preserve"> </v>
      </c>
      <c r="AZ77" s="246" t="str">
        <f t="shared" si="83"/>
        <v xml:space="preserve"> </v>
      </c>
      <c r="BA77" s="73">
        <f t="shared" si="84"/>
        <v>0</v>
      </c>
      <c r="BB77" s="73" t="str">
        <f t="shared" si="85"/>
        <v xml:space="preserve"> </v>
      </c>
      <c r="BC77" s="210" t="str">
        <f t="shared" si="43"/>
        <v xml:space="preserve"> </v>
      </c>
      <c r="BD77" s="210" t="str">
        <f t="shared" si="61"/>
        <v xml:space="preserve"> </v>
      </c>
      <c r="BE77" s="157" t="str">
        <f t="shared" si="86"/>
        <v xml:space="preserve"> </v>
      </c>
      <c r="BF77" s="157" t="str">
        <f t="shared" si="87"/>
        <v xml:space="preserve"> </v>
      </c>
      <c r="BG77" s="157" t="str">
        <f t="shared" si="88"/>
        <v xml:space="preserve"> </v>
      </c>
      <c r="BH77" s="157" t="str">
        <f t="shared" si="89"/>
        <v xml:space="preserve"> </v>
      </c>
      <c r="BI77" s="211" t="str">
        <f t="shared" si="90"/>
        <v xml:space="preserve"> </v>
      </c>
      <c r="BJ77" s="248"/>
      <c r="BK77" s="248"/>
    </row>
    <row r="78" spans="1:63" ht="12.75" customHeight="1" thickBot="1">
      <c r="A78" s="248"/>
      <c r="B78" s="248"/>
      <c r="C78" s="267" t="s">
        <v>214</v>
      </c>
      <c r="D78" s="258" t="s">
        <v>202</v>
      </c>
      <c r="E78" s="408"/>
      <c r="F78" s="282">
        <v>0.5</v>
      </c>
      <c r="G78" s="283">
        <v>0.9</v>
      </c>
      <c r="H78" s="285">
        <v>6.7</v>
      </c>
      <c r="I78" s="285">
        <v>1.5</v>
      </c>
      <c r="J78" s="285">
        <v>5.8</v>
      </c>
      <c r="K78" s="285">
        <v>1.3</v>
      </c>
      <c r="L78" s="255">
        <v>0</v>
      </c>
      <c r="M78" s="257">
        <v>330</v>
      </c>
      <c r="N78" s="291">
        <v>0.53</v>
      </c>
      <c r="O78" s="294" t="str">
        <f t="shared" si="45"/>
        <v xml:space="preserve"> </v>
      </c>
      <c r="P78" s="314" t="str">
        <f t="shared" si="46"/>
        <v xml:space="preserve"> </v>
      </c>
      <c r="Q78" s="311" t="str">
        <f t="shared" si="47"/>
        <v xml:space="preserve"> </v>
      </c>
      <c r="R78" s="250"/>
      <c r="S78" s="458">
        <f t="shared" si="68"/>
        <v>0</v>
      </c>
      <c r="T78" s="465"/>
      <c r="U78" s="466"/>
      <c r="V78" s="152"/>
      <c r="W78" s="153" t="str">
        <f t="shared" si="69"/>
        <v xml:space="preserve"> </v>
      </c>
      <c r="X78" s="74" t="str">
        <f t="shared" si="70"/>
        <v xml:space="preserve"> </v>
      </c>
      <c r="Y78" s="74" t="str">
        <f t="shared" si="71"/>
        <v xml:space="preserve"> </v>
      </c>
      <c r="Z78" s="74" t="str">
        <f t="shared" si="72"/>
        <v xml:space="preserve"> </v>
      </c>
      <c r="AA78" s="74" t="str">
        <f t="shared" si="73"/>
        <v xml:space="preserve"> </v>
      </c>
      <c r="AB78" s="75" t="str">
        <f t="shared" si="74"/>
        <v xml:space="preserve"> </v>
      </c>
      <c r="AC78" s="76" t="str">
        <f t="shared" si="75"/>
        <v xml:space="preserve"> </v>
      </c>
      <c r="AD78" s="73">
        <f t="shared" si="48"/>
        <v>0</v>
      </c>
      <c r="AE78" s="73" t="str">
        <f t="shared" si="49"/>
        <v xml:space="preserve"> </v>
      </c>
      <c r="AF78" s="154">
        <f t="shared" si="50"/>
        <v>0.72949123989218334</v>
      </c>
      <c r="AG78" s="208" t="str">
        <f t="shared" si="51"/>
        <v xml:space="preserve"> </v>
      </c>
      <c r="AH78" s="208" t="str">
        <f t="shared" si="52"/>
        <v xml:space="preserve"> </v>
      </c>
      <c r="AI78" s="209" t="str">
        <f t="shared" si="91"/>
        <v xml:space="preserve"> </v>
      </c>
      <c r="AJ78" s="209" t="str">
        <f t="shared" si="92"/>
        <v xml:space="preserve"> </v>
      </c>
      <c r="AK78" s="209" t="str">
        <f t="shared" si="93"/>
        <v xml:space="preserve"> </v>
      </c>
      <c r="AL78" s="209" t="str">
        <f t="shared" si="94"/>
        <v xml:space="preserve"> </v>
      </c>
      <c r="AM78" s="209" t="str">
        <f t="shared" si="95"/>
        <v xml:space="preserve"> </v>
      </c>
      <c r="AN78" s="209"/>
      <c r="AO78" s="77"/>
      <c r="AP78" s="458">
        <f t="shared" si="76"/>
        <v>0</v>
      </c>
      <c r="AQ78" s="465"/>
      <c r="AR78" s="466"/>
      <c r="AS78" s="152"/>
      <c r="AT78" s="244" t="str">
        <f t="shared" si="77"/>
        <v xml:space="preserve"> </v>
      </c>
      <c r="AU78" s="245" t="str">
        <f t="shared" si="78"/>
        <v xml:space="preserve"> </v>
      </c>
      <c r="AV78" s="245" t="str">
        <f t="shared" si="79"/>
        <v xml:space="preserve"> </v>
      </c>
      <c r="AW78" s="245" t="str">
        <f t="shared" si="80"/>
        <v xml:space="preserve"> </v>
      </c>
      <c r="AX78" s="245" t="str">
        <f t="shared" si="81"/>
        <v xml:space="preserve"> </v>
      </c>
      <c r="AY78" s="545" t="str">
        <f t="shared" si="82"/>
        <v xml:space="preserve"> </v>
      </c>
      <c r="AZ78" s="246" t="str">
        <f t="shared" si="83"/>
        <v xml:space="preserve"> </v>
      </c>
      <c r="BA78" s="73">
        <f t="shared" si="84"/>
        <v>0</v>
      </c>
      <c r="BB78" s="73" t="str">
        <f t="shared" si="85"/>
        <v xml:space="preserve"> </v>
      </c>
      <c r="BC78" s="210" t="str">
        <f t="shared" si="43"/>
        <v xml:space="preserve"> </v>
      </c>
      <c r="BD78" s="210" t="str">
        <f t="shared" si="61"/>
        <v xml:space="preserve"> </v>
      </c>
      <c r="BE78" s="157" t="str">
        <f t="shared" si="86"/>
        <v xml:space="preserve"> </v>
      </c>
      <c r="BF78" s="157" t="str">
        <f t="shared" si="87"/>
        <v xml:space="preserve"> </v>
      </c>
      <c r="BG78" s="157" t="str">
        <f t="shared" si="88"/>
        <v xml:space="preserve"> </v>
      </c>
      <c r="BH78" s="157" t="str">
        <f t="shared" si="89"/>
        <v xml:space="preserve"> </v>
      </c>
      <c r="BI78" s="211" t="str">
        <f t="shared" si="90"/>
        <v xml:space="preserve"> </v>
      </c>
      <c r="BJ78" s="248"/>
      <c r="BK78" s="248"/>
    </row>
    <row r="79" spans="1:63" ht="12.75" customHeight="1" thickBot="1">
      <c r="A79" s="248"/>
      <c r="B79" s="248"/>
      <c r="C79" s="267" t="s">
        <v>90</v>
      </c>
      <c r="D79" s="258" t="s">
        <v>202</v>
      </c>
      <c r="E79" s="408"/>
      <c r="F79" s="282">
        <v>0.35</v>
      </c>
      <c r="G79" s="283">
        <v>0.9</v>
      </c>
      <c r="H79" s="285">
        <v>5.6</v>
      </c>
      <c r="I79" s="285">
        <v>1.7</v>
      </c>
      <c r="J79" s="285">
        <v>5.8</v>
      </c>
      <c r="K79" s="285">
        <v>1</v>
      </c>
      <c r="L79" s="255">
        <v>0</v>
      </c>
      <c r="M79" s="257">
        <v>330</v>
      </c>
      <c r="N79" s="291">
        <v>0.53</v>
      </c>
      <c r="O79" s="294" t="str">
        <f t="shared" si="45"/>
        <v xml:space="preserve"> </v>
      </c>
      <c r="P79" s="314" t="str">
        <f t="shared" si="46"/>
        <v xml:space="preserve"> </v>
      </c>
      <c r="Q79" s="311" t="str">
        <f t="shared" si="47"/>
        <v xml:space="preserve"> </v>
      </c>
      <c r="R79" s="250"/>
      <c r="S79" s="458">
        <f t="shared" si="68"/>
        <v>0</v>
      </c>
      <c r="T79" s="465"/>
      <c r="U79" s="466"/>
      <c r="V79" s="152"/>
      <c r="W79" s="153" t="str">
        <f t="shared" si="69"/>
        <v xml:space="preserve"> </v>
      </c>
      <c r="X79" s="74" t="str">
        <f t="shared" si="70"/>
        <v xml:space="preserve"> </v>
      </c>
      <c r="Y79" s="74" t="str">
        <f t="shared" si="71"/>
        <v xml:space="preserve"> </v>
      </c>
      <c r="Z79" s="74" t="str">
        <f t="shared" si="72"/>
        <v xml:space="preserve"> </v>
      </c>
      <c r="AA79" s="74" t="str">
        <f t="shared" si="73"/>
        <v xml:space="preserve"> </v>
      </c>
      <c r="AB79" s="75" t="str">
        <f t="shared" si="74"/>
        <v xml:space="preserve"> </v>
      </c>
      <c r="AC79" s="76" t="str">
        <f t="shared" si="75"/>
        <v xml:space="preserve"> </v>
      </c>
      <c r="AD79" s="73">
        <f t="shared" si="48"/>
        <v>0</v>
      </c>
      <c r="AE79" s="73" t="str">
        <f t="shared" si="49"/>
        <v xml:space="preserve"> </v>
      </c>
      <c r="AF79" s="154">
        <f t="shared" si="50"/>
        <v>0.72949123989218334</v>
      </c>
      <c r="AG79" s="208" t="str">
        <f t="shared" si="51"/>
        <v xml:space="preserve"> </v>
      </c>
      <c r="AH79" s="208" t="str">
        <f t="shared" si="52"/>
        <v xml:space="preserve"> </v>
      </c>
      <c r="AI79" s="209" t="str">
        <f t="shared" si="91"/>
        <v xml:space="preserve"> </v>
      </c>
      <c r="AJ79" s="209" t="str">
        <f t="shared" si="92"/>
        <v xml:space="preserve"> </v>
      </c>
      <c r="AK79" s="209" t="str">
        <f t="shared" si="93"/>
        <v xml:space="preserve"> </v>
      </c>
      <c r="AL79" s="209" t="str">
        <f t="shared" si="94"/>
        <v xml:space="preserve"> </v>
      </c>
      <c r="AM79" s="209" t="str">
        <f t="shared" si="95"/>
        <v xml:space="preserve"> </v>
      </c>
      <c r="AN79" s="209"/>
      <c r="AO79" s="77"/>
      <c r="AP79" s="458">
        <f t="shared" si="76"/>
        <v>11.506849315068493</v>
      </c>
      <c r="AQ79" s="465">
        <v>4200</v>
      </c>
      <c r="AR79" s="466">
        <v>0.35</v>
      </c>
      <c r="AS79" s="152"/>
      <c r="AT79" s="244">
        <f t="shared" si="77"/>
        <v>0.9</v>
      </c>
      <c r="AU79" s="245">
        <f t="shared" si="78"/>
        <v>5.6</v>
      </c>
      <c r="AV79" s="245">
        <f t="shared" si="79"/>
        <v>1.7</v>
      </c>
      <c r="AW79" s="245">
        <f t="shared" si="80"/>
        <v>5.8</v>
      </c>
      <c r="AX79" s="245">
        <f t="shared" si="81"/>
        <v>1</v>
      </c>
      <c r="AY79" s="545">
        <f t="shared" si="82"/>
        <v>330</v>
      </c>
      <c r="AZ79" s="246">
        <f t="shared" si="83"/>
        <v>0.53</v>
      </c>
      <c r="BA79" s="73">
        <f t="shared" si="84"/>
        <v>4.0273972602739727</v>
      </c>
      <c r="BB79" s="73">
        <f t="shared" si="85"/>
        <v>3.6246575342465754</v>
      </c>
      <c r="BC79" s="210">
        <f t="shared" si="43"/>
        <v>1196.1369863013699</v>
      </c>
      <c r="BD79" s="210">
        <f t="shared" si="61"/>
        <v>2256.8622383044712</v>
      </c>
      <c r="BE79" s="157">
        <f t="shared" si="86"/>
        <v>64.438356164383563</v>
      </c>
      <c r="BF79" s="157">
        <f t="shared" si="87"/>
        <v>19.561643835616437</v>
      </c>
      <c r="BG79" s="157">
        <f t="shared" si="88"/>
        <v>66.739726027397253</v>
      </c>
      <c r="BH79" s="157">
        <f t="shared" si="89"/>
        <v>11.506849315068493</v>
      </c>
      <c r="BI79" s="211">
        <f t="shared" si="90"/>
        <v>0</v>
      </c>
      <c r="BJ79" s="248"/>
      <c r="BK79" s="248"/>
    </row>
    <row r="80" spans="1:63" ht="12.75" customHeight="1" thickBot="1">
      <c r="A80" s="248"/>
      <c r="B80" s="248"/>
      <c r="C80" s="402" t="s">
        <v>275</v>
      </c>
      <c r="D80" s="407" t="s">
        <v>202</v>
      </c>
      <c r="E80" s="409"/>
      <c r="F80" s="287">
        <v>0.2</v>
      </c>
      <c r="G80" s="288">
        <v>0.9</v>
      </c>
      <c r="H80" s="289">
        <v>4</v>
      </c>
      <c r="I80" s="289">
        <v>0.6</v>
      </c>
      <c r="J80" s="289">
        <v>4.8</v>
      </c>
      <c r="K80" s="289">
        <v>0.3</v>
      </c>
      <c r="L80" s="269">
        <v>0</v>
      </c>
      <c r="M80" s="270">
        <v>330</v>
      </c>
      <c r="N80" s="291">
        <v>0.53</v>
      </c>
      <c r="O80" s="295" t="str">
        <f>IF(S80&gt;0,S80," ")</f>
        <v xml:space="preserve"> </v>
      </c>
      <c r="P80" s="315" t="str">
        <f>IF(U80&gt;0,U80," ")</f>
        <v xml:space="preserve"> </v>
      </c>
      <c r="Q80" s="312" t="str">
        <f>IF(V80&gt;0,V80," ")</f>
        <v xml:space="preserve"> </v>
      </c>
      <c r="R80" s="250"/>
      <c r="S80" s="458">
        <f>+T80/365</f>
        <v>0</v>
      </c>
      <c r="T80" s="467"/>
      <c r="U80" s="468"/>
      <c r="V80" s="152"/>
      <c r="W80" s="153" t="str">
        <f>IF(S80&gt;0,G80," ")</f>
        <v xml:space="preserve"> </v>
      </c>
      <c r="X80" s="74" t="str">
        <f>IF(S80&gt;0,H80*$U80/$F80," ")</f>
        <v xml:space="preserve"> </v>
      </c>
      <c r="Y80" s="74" t="str">
        <f>IF(S80&gt;0,I80*$U80/$F80," ")</f>
        <v xml:space="preserve"> </v>
      </c>
      <c r="Z80" s="74" t="str">
        <f>IF($S80&gt;0,+J80*$U80/$F80," ")</f>
        <v xml:space="preserve"> </v>
      </c>
      <c r="AA80" s="74" t="str">
        <f>IF($S80&gt;0,+K80*$U80/$F80," ")</f>
        <v xml:space="preserve"> </v>
      </c>
      <c r="AB80" s="75" t="str">
        <f>IF(S80&gt;0,M80," ")</f>
        <v xml:space="preserve"> </v>
      </c>
      <c r="AC80" s="76" t="str">
        <f>IF(S80&gt;0,N80," ")</f>
        <v xml:space="preserve"> </v>
      </c>
      <c r="AD80" s="73">
        <f>+S80*U80</f>
        <v>0</v>
      </c>
      <c r="AE80" s="73" t="str">
        <f>IF(S80&gt;0,S80*U80*G80," ")</f>
        <v xml:space="preserve"> </v>
      </c>
      <c r="AF80" s="154">
        <f>(M80/N80*G80/1000*((N80*16+(1-N80)*44)/22.4))+L80</f>
        <v>0.72949123989218334</v>
      </c>
      <c r="AG80" s="208" t="str">
        <f>IF(S80&gt;0,S80*U80*W80*AB80," ")</f>
        <v xml:space="preserve"> </v>
      </c>
      <c r="AH80" s="208" t="str">
        <f>IF(S80&gt;0,AG80/AC80," ")</f>
        <v xml:space="preserve"> </v>
      </c>
      <c r="AI80" s="209" t="str">
        <f>IF($S80&gt;0,$S80*X80," ")</f>
        <v xml:space="preserve"> </v>
      </c>
      <c r="AJ80" s="209" t="str">
        <f>IF($S80&gt;0,$S80*Y80," ")</f>
        <v xml:space="preserve"> </v>
      </c>
      <c r="AK80" s="209" t="str">
        <f>IF($S80&gt;0,$S80*Z80," ")</f>
        <v xml:space="preserve"> </v>
      </c>
      <c r="AL80" s="209" t="str">
        <f>IF($S80&gt;0,$S80*AA80," ")</f>
        <v xml:space="preserve"> </v>
      </c>
      <c r="AM80" s="209" t="str">
        <f>IF(S80&gt;0,S80*V80*365/1000," ")</f>
        <v xml:space="preserve"> </v>
      </c>
      <c r="AN80" s="209"/>
      <c r="AO80" s="77"/>
      <c r="AP80" s="458">
        <f>+AQ80/365</f>
        <v>0</v>
      </c>
      <c r="AQ80" s="467"/>
      <c r="AR80" s="468"/>
      <c r="AS80" s="152"/>
      <c r="AT80" s="244" t="str">
        <f>IF(AP80&gt;0,G80," ")</f>
        <v xml:space="preserve"> </v>
      </c>
      <c r="AU80" s="245" t="str">
        <f>IF(AP80&gt;0,H80*$AR80/$F80," ")</f>
        <v xml:space="preserve"> </v>
      </c>
      <c r="AV80" s="245" t="str">
        <f>IF(AP80&gt;0,I80*$AR80/$F80," ")</f>
        <v xml:space="preserve"> </v>
      </c>
      <c r="AW80" s="245" t="str">
        <f>IF(AP80&gt;0,J80*$AR80/$F80," ")</f>
        <v xml:space="preserve"> </v>
      </c>
      <c r="AX80" s="245" t="str">
        <f>IF(AP80&gt;0,K80*$AR80/$F80," ")</f>
        <v xml:space="preserve"> </v>
      </c>
      <c r="AY80" s="545" t="str">
        <f>IF(AP80&gt;0,M80," ")</f>
        <v xml:space="preserve"> </v>
      </c>
      <c r="AZ80" s="246" t="str">
        <f>IF(AP80&gt;0,N80," ")</f>
        <v xml:space="preserve"> </v>
      </c>
      <c r="BA80" s="73">
        <f>+AP80*AR80</f>
        <v>0</v>
      </c>
      <c r="BB80" s="73" t="str">
        <f>IF(AP80&gt;0,AP80*AR80*AT80," ")</f>
        <v xml:space="preserve"> </v>
      </c>
      <c r="BC80" s="210" t="str">
        <f t="shared" si="43"/>
        <v xml:space="preserve"> </v>
      </c>
      <c r="BD80" s="210" t="str">
        <f>IF(AP80&gt;0,BC80/AZ80," ")</f>
        <v xml:space="preserve"> </v>
      </c>
      <c r="BE80" s="157" t="str">
        <f>IF($AP80&gt;0,$AP80*AU80," ")</f>
        <v xml:space="preserve"> </v>
      </c>
      <c r="BF80" s="157" t="str">
        <f>IF($AP80&gt;0,$AP80*AV80," ")</f>
        <v xml:space="preserve"> </v>
      </c>
      <c r="BG80" s="157" t="str">
        <f>IF($AP80&gt;0,$AP80*AW80," ")</f>
        <v xml:space="preserve"> </v>
      </c>
      <c r="BH80" s="157" t="str">
        <f>IF($AP80&gt;0,$AP80*AX80," ")</f>
        <v xml:space="preserve"> </v>
      </c>
      <c r="BI80" s="211" t="str">
        <f>IF(AP80&gt;0,AP80*AS80*365/1000," ")</f>
        <v xml:space="preserve"> </v>
      </c>
      <c r="BJ80" s="248"/>
      <c r="BK80" s="248"/>
    </row>
    <row r="81" spans="1:63" ht="15.75" customHeight="1" thickBot="1">
      <c r="A81" s="248"/>
      <c r="B81" s="248"/>
      <c r="C81" s="479" t="s">
        <v>369</v>
      </c>
      <c r="D81" s="480"/>
      <c r="E81" s="480"/>
      <c r="F81" s="21"/>
      <c r="G81" s="21"/>
      <c r="H81" s="21"/>
      <c r="I81" s="21"/>
      <c r="J81" s="21"/>
      <c r="K81" s="21"/>
      <c r="L81" s="21"/>
      <c r="M81" s="21"/>
      <c r="N81" s="21"/>
      <c r="O81" s="328"/>
      <c r="P81" s="329"/>
      <c r="Q81" s="21"/>
      <c r="R81" s="250"/>
      <c r="S81" s="151">
        <f t="shared" si="68"/>
        <v>0</v>
      </c>
      <c r="T81" s="115"/>
      <c r="U81" s="80"/>
      <c r="V81" s="80"/>
      <c r="W81" s="80"/>
      <c r="X81" s="80"/>
      <c r="Y81" s="80"/>
      <c r="Z81" s="80"/>
      <c r="AA81" s="80"/>
      <c r="AB81" s="80"/>
      <c r="AC81" s="81"/>
      <c r="AD81" s="80"/>
      <c r="AE81" s="80"/>
      <c r="AF81" s="154" t="e">
        <f t="shared" si="50"/>
        <v>#DIV/0!</v>
      </c>
      <c r="AG81" s="208" t="str">
        <f t="shared" si="51"/>
        <v xml:space="preserve"> </v>
      </c>
      <c r="AH81" s="208" t="str">
        <f t="shared" si="52"/>
        <v xml:space="preserve"> </v>
      </c>
      <c r="AI81" s="209" t="str">
        <f t="shared" si="91"/>
        <v xml:space="preserve"> </v>
      </c>
      <c r="AJ81" s="209" t="str">
        <f t="shared" si="92"/>
        <v xml:space="preserve"> </v>
      </c>
      <c r="AK81" s="209" t="str">
        <f t="shared" si="93"/>
        <v xml:space="preserve"> </v>
      </c>
      <c r="AL81" s="209" t="str">
        <f t="shared" si="94"/>
        <v xml:space="preserve"> </v>
      </c>
      <c r="AM81" s="209" t="str">
        <f t="shared" si="95"/>
        <v xml:space="preserve"> </v>
      </c>
      <c r="AN81" s="209"/>
      <c r="AO81" s="77"/>
      <c r="AP81" s="151">
        <f t="shared" si="76"/>
        <v>0</v>
      </c>
      <c r="AQ81" s="471"/>
      <c r="AR81" s="471"/>
      <c r="AS81" s="471"/>
      <c r="AT81" s="471"/>
      <c r="AU81" s="471"/>
      <c r="AV81" s="471"/>
      <c r="AW81" s="471"/>
      <c r="AX81" s="471"/>
      <c r="AY81" s="547"/>
      <c r="AZ81" s="472"/>
      <c r="BA81" s="115"/>
      <c r="BB81" s="115"/>
      <c r="BC81" s="213"/>
      <c r="BD81" s="82"/>
      <c r="BE81" s="82"/>
      <c r="BF81" s="82"/>
      <c r="BG81" s="82"/>
      <c r="BH81" s="82"/>
      <c r="BI81" s="83"/>
      <c r="BJ81" s="248"/>
      <c r="BK81" s="248"/>
    </row>
    <row r="82" spans="1:63">
      <c r="A82" s="248"/>
      <c r="B82" s="248"/>
      <c r="C82" s="504"/>
      <c r="D82" s="505"/>
      <c r="E82" s="506"/>
      <c r="F82" s="478"/>
      <c r="G82" s="2"/>
      <c r="H82" s="4"/>
      <c r="I82" s="4"/>
      <c r="J82" s="4"/>
      <c r="K82" s="4"/>
      <c r="L82" s="4"/>
      <c r="M82" s="5"/>
      <c r="N82" s="321"/>
      <c r="O82" s="294" t="str">
        <f>IF(S82&gt;0,S82," ")</f>
        <v xml:space="preserve"> </v>
      </c>
      <c r="P82" s="314" t="str">
        <f>IF(U82&gt;0,U82," ")</f>
        <v xml:space="preserve"> </v>
      </c>
      <c r="Q82" s="311" t="str">
        <f t="shared" si="47"/>
        <v xml:space="preserve"> </v>
      </c>
      <c r="R82" s="250"/>
      <c r="S82" s="151">
        <f t="shared" si="68"/>
        <v>0</v>
      </c>
      <c r="T82" s="293"/>
      <c r="U82" s="313"/>
      <c r="V82" s="152"/>
      <c r="W82" s="84"/>
      <c r="X82" s="86"/>
      <c r="Y82" s="86"/>
      <c r="Z82" s="86"/>
      <c r="AA82" s="86"/>
      <c r="AB82" s="87"/>
      <c r="AC82" s="87"/>
      <c r="AD82" s="85">
        <f>+S82*U82</f>
        <v>0</v>
      </c>
      <c r="AE82" s="85">
        <f>+S82*U82*W82</f>
        <v>0</v>
      </c>
      <c r="AF82" s="154" t="e">
        <f t="shared" si="50"/>
        <v>#DIV/0!</v>
      </c>
      <c r="AG82" s="208" t="str">
        <f t="shared" si="51"/>
        <v xml:space="preserve"> </v>
      </c>
      <c r="AH82" s="208" t="str">
        <f t="shared" si="52"/>
        <v xml:space="preserve"> </v>
      </c>
      <c r="AI82" s="209" t="str">
        <f t="shared" si="91"/>
        <v xml:space="preserve"> </v>
      </c>
      <c r="AJ82" s="209" t="str">
        <f t="shared" si="92"/>
        <v xml:space="preserve"> </v>
      </c>
      <c r="AK82" s="209" t="str">
        <f t="shared" si="93"/>
        <v xml:space="preserve"> </v>
      </c>
      <c r="AL82" s="209" t="str">
        <f t="shared" si="94"/>
        <v xml:space="preserve"> </v>
      </c>
      <c r="AM82" s="209" t="str">
        <f t="shared" si="95"/>
        <v xml:space="preserve"> </v>
      </c>
      <c r="AN82" s="209"/>
      <c r="AO82" s="77"/>
      <c r="AP82" s="458">
        <f t="shared" si="76"/>
        <v>0</v>
      </c>
      <c r="AQ82" s="463"/>
      <c r="AR82" s="513"/>
      <c r="AS82" s="514"/>
      <c r="AT82" s="515"/>
      <c r="AU82" s="516"/>
      <c r="AV82" s="516"/>
      <c r="AW82" s="516"/>
      <c r="AX82" s="516"/>
      <c r="AY82" s="548"/>
      <c r="AZ82" s="517"/>
      <c r="BA82" s="89">
        <f>+AP82*AR82</f>
        <v>0</v>
      </c>
      <c r="BB82" s="89">
        <f>+AP82*AR82*AT82</f>
        <v>0</v>
      </c>
      <c r="BC82" s="210" t="str">
        <f t="shared" si="43"/>
        <v xml:space="preserve"> </v>
      </c>
      <c r="BD82" s="210" t="str">
        <f>IF(AP82&gt;0,BC82/AZ82," ")</f>
        <v xml:space="preserve"> </v>
      </c>
      <c r="BE82" s="157" t="str">
        <f>IF(AP82&gt;0,AP82*AU82," ")</f>
        <v xml:space="preserve"> </v>
      </c>
      <c r="BF82" s="157" t="str">
        <f t="shared" ref="BF82:BH85" si="96">IF($AP82&gt;0,$AP82*AV82," ")</f>
        <v xml:space="preserve"> </v>
      </c>
      <c r="BG82" s="157" t="str">
        <f t="shared" si="96"/>
        <v xml:space="preserve"> </v>
      </c>
      <c r="BH82" s="157" t="str">
        <f t="shared" si="96"/>
        <v xml:space="preserve"> </v>
      </c>
      <c r="BI82" s="211" t="str">
        <f>IF(AP82&gt;0,AP82*AS82*365/1000," ")</f>
        <v xml:space="preserve"> </v>
      </c>
      <c r="BJ82" s="248"/>
      <c r="BK82" s="248"/>
    </row>
    <row r="83" spans="1:63">
      <c r="A83" s="248"/>
      <c r="B83" s="248"/>
      <c r="C83" s="507"/>
      <c r="D83" s="508"/>
      <c r="E83" s="509"/>
      <c r="F83" s="478"/>
      <c r="G83" s="2"/>
      <c r="H83" s="4"/>
      <c r="I83" s="4"/>
      <c r="J83" s="4"/>
      <c r="K83" s="4"/>
      <c r="L83" s="4"/>
      <c r="M83" s="5"/>
      <c r="N83" s="321"/>
      <c r="O83" s="294" t="str">
        <f>IF(S83&gt;0,S83," ")</f>
        <v xml:space="preserve"> </v>
      </c>
      <c r="P83" s="314" t="str">
        <f>IF(U83&gt;0,U83," ")</f>
        <v xml:space="preserve"> </v>
      </c>
      <c r="Q83" s="311" t="str">
        <f t="shared" si="47"/>
        <v xml:space="preserve"> </v>
      </c>
      <c r="R83" s="250"/>
      <c r="S83" s="151">
        <f t="shared" si="68"/>
        <v>0</v>
      </c>
      <c r="T83" s="294"/>
      <c r="U83" s="314"/>
      <c r="V83" s="152"/>
      <c r="W83" s="84"/>
      <c r="X83" s="86"/>
      <c r="Y83" s="86"/>
      <c r="Z83" s="86"/>
      <c r="AA83" s="86"/>
      <c r="AB83" s="87"/>
      <c r="AC83" s="87"/>
      <c r="AD83" s="85">
        <f>+S83*U83</f>
        <v>0</v>
      </c>
      <c r="AE83" s="85">
        <f>+S83*U83*W83</f>
        <v>0</v>
      </c>
      <c r="AF83" s="154" t="e">
        <f>(M83/N83*G83/1000*((N83*16+(1-N83)*44)/22.4))+L83</f>
        <v>#DIV/0!</v>
      </c>
      <c r="AG83" s="208" t="str">
        <f>IF(S83&gt;0,S83*U83*W83*AB83," ")</f>
        <v xml:space="preserve"> </v>
      </c>
      <c r="AH83" s="208" t="str">
        <f>IF(S83&gt;0,AG83/AC83," ")</f>
        <v xml:space="preserve"> </v>
      </c>
      <c r="AI83" s="209" t="str">
        <f t="shared" ref="AI83:AL85" si="97">IF($S83&gt;0,$S83*X83," ")</f>
        <v xml:space="preserve"> </v>
      </c>
      <c r="AJ83" s="209" t="str">
        <f t="shared" si="97"/>
        <v xml:space="preserve"> </v>
      </c>
      <c r="AK83" s="209" t="str">
        <f t="shared" si="97"/>
        <v xml:space="preserve"> </v>
      </c>
      <c r="AL83" s="209" t="str">
        <f t="shared" si="97"/>
        <v xml:space="preserve"> </v>
      </c>
      <c r="AM83" s="209" t="str">
        <f>IF(S83&gt;0,S83*V83*365/1000," ")</f>
        <v xml:space="preserve"> </v>
      </c>
      <c r="AN83" s="209"/>
      <c r="AO83" s="77"/>
      <c r="AP83" s="458">
        <f t="shared" si="76"/>
        <v>0</v>
      </c>
      <c r="AQ83" s="476"/>
      <c r="AR83" s="518"/>
      <c r="AS83" s="519"/>
      <c r="AT83" s="520"/>
      <c r="AU83" s="521"/>
      <c r="AV83" s="521"/>
      <c r="AW83" s="521"/>
      <c r="AX83" s="521"/>
      <c r="AY83" s="549"/>
      <c r="AZ83" s="522"/>
      <c r="BA83" s="89">
        <f>+AP83*AR83</f>
        <v>0</v>
      </c>
      <c r="BB83" s="89">
        <f>+AP83*AR83*AT83</f>
        <v>0</v>
      </c>
      <c r="BC83" s="210" t="str">
        <f t="shared" si="43"/>
        <v xml:space="preserve"> </v>
      </c>
      <c r="BD83" s="210" t="str">
        <f>IF(AP83&gt;0,BC83/AZ83," ")</f>
        <v xml:space="preserve"> </v>
      </c>
      <c r="BE83" s="157" t="str">
        <f>IF(AP83&gt;0,AP83*AU83," ")</f>
        <v xml:space="preserve"> </v>
      </c>
      <c r="BF83" s="157" t="str">
        <f t="shared" si="96"/>
        <v xml:space="preserve"> </v>
      </c>
      <c r="BG83" s="157" t="str">
        <f t="shared" si="96"/>
        <v xml:space="preserve"> </v>
      </c>
      <c r="BH83" s="157" t="str">
        <f t="shared" si="96"/>
        <v xml:space="preserve"> </v>
      </c>
      <c r="BI83" s="211" t="str">
        <f>IF(AP83&gt;0,AP83*AS83*365/1000," ")</f>
        <v xml:space="preserve"> </v>
      </c>
      <c r="BJ83" s="248"/>
      <c r="BK83" s="248"/>
    </row>
    <row r="84" spans="1:63">
      <c r="A84" s="248"/>
      <c r="B84" s="248"/>
      <c r="C84" s="507"/>
      <c r="D84" s="508"/>
      <c r="E84" s="509"/>
      <c r="F84" s="478"/>
      <c r="G84" s="2"/>
      <c r="H84" s="4"/>
      <c r="I84" s="4"/>
      <c r="J84" s="4"/>
      <c r="K84" s="4"/>
      <c r="L84" s="4"/>
      <c r="M84" s="5"/>
      <c r="N84" s="321"/>
      <c r="O84" s="294" t="str">
        <f>IF(S84&gt;0,S84," ")</f>
        <v xml:space="preserve"> </v>
      </c>
      <c r="P84" s="314" t="str">
        <f>IF(U84&gt;0,U84," ")</f>
        <v xml:space="preserve"> </v>
      </c>
      <c r="Q84" s="311" t="str">
        <f t="shared" si="47"/>
        <v xml:space="preserve"> </v>
      </c>
      <c r="R84" s="250"/>
      <c r="S84" s="151">
        <f t="shared" si="68"/>
        <v>0</v>
      </c>
      <c r="T84" s="294"/>
      <c r="U84" s="314"/>
      <c r="V84" s="152"/>
      <c r="W84" s="84"/>
      <c r="X84" s="86"/>
      <c r="Y84" s="86"/>
      <c r="Z84" s="86"/>
      <c r="AA84" s="86"/>
      <c r="AB84" s="87"/>
      <c r="AC84" s="87"/>
      <c r="AD84" s="85">
        <f>+S84*U84</f>
        <v>0</v>
      </c>
      <c r="AE84" s="85">
        <f>+S84*U84*W84</f>
        <v>0</v>
      </c>
      <c r="AF84" s="154" t="e">
        <f>(M84/N84*G84/1000*((N84*16+(1-N84)*44)/22.4))+L84</f>
        <v>#DIV/0!</v>
      </c>
      <c r="AG84" s="208" t="str">
        <f>IF(S84&gt;0,S84*U84*W84*AB84," ")</f>
        <v xml:space="preserve"> </v>
      </c>
      <c r="AH84" s="208" t="str">
        <f>IF(S84&gt;0,AG84/AC84," ")</f>
        <v xml:space="preserve"> </v>
      </c>
      <c r="AI84" s="209" t="str">
        <f t="shared" si="97"/>
        <v xml:space="preserve"> </v>
      </c>
      <c r="AJ84" s="209" t="str">
        <f t="shared" si="97"/>
        <v xml:space="preserve"> </v>
      </c>
      <c r="AK84" s="209" t="str">
        <f t="shared" si="97"/>
        <v xml:space="preserve"> </v>
      </c>
      <c r="AL84" s="209" t="str">
        <f t="shared" si="97"/>
        <v xml:space="preserve"> </v>
      </c>
      <c r="AM84" s="209" t="str">
        <f>IF(S84&gt;0,S84*V84*365/1000," ")</f>
        <v xml:space="preserve"> </v>
      </c>
      <c r="AN84" s="209"/>
      <c r="AO84" s="77"/>
      <c r="AP84" s="458">
        <f t="shared" si="76"/>
        <v>0</v>
      </c>
      <c r="AQ84" s="476"/>
      <c r="AR84" s="518"/>
      <c r="AS84" s="519"/>
      <c r="AT84" s="520"/>
      <c r="AU84" s="521"/>
      <c r="AV84" s="521"/>
      <c r="AW84" s="521"/>
      <c r="AX84" s="521"/>
      <c r="AY84" s="549"/>
      <c r="AZ84" s="522"/>
      <c r="BA84" s="89">
        <f>+AP84*AR84</f>
        <v>0</v>
      </c>
      <c r="BB84" s="89">
        <f>+AP84*AR84*AT84</f>
        <v>0</v>
      </c>
      <c r="BC84" s="210" t="str">
        <f t="shared" si="43"/>
        <v xml:space="preserve"> </v>
      </c>
      <c r="BD84" s="210" t="str">
        <f>IF(AP84&gt;0,BC84/AZ84," ")</f>
        <v xml:space="preserve"> </v>
      </c>
      <c r="BE84" s="157" t="str">
        <f>IF(AP84&gt;0,AP84*AU84," ")</f>
        <v xml:space="preserve"> </v>
      </c>
      <c r="BF84" s="157" t="str">
        <f t="shared" si="96"/>
        <v xml:space="preserve"> </v>
      </c>
      <c r="BG84" s="157" t="str">
        <f t="shared" si="96"/>
        <v xml:space="preserve"> </v>
      </c>
      <c r="BH84" s="157" t="str">
        <f t="shared" si="96"/>
        <v xml:space="preserve"> </v>
      </c>
      <c r="BI84" s="211" t="str">
        <f>IF(AP84&gt;0,AP84*AS84*365/1000," ")</f>
        <v xml:space="preserve"> </v>
      </c>
      <c r="BJ84" s="248"/>
      <c r="BK84" s="248"/>
    </row>
    <row r="85" spans="1:63" ht="13.5" thickBot="1">
      <c r="A85" s="248"/>
      <c r="B85" s="248"/>
      <c r="C85" s="510"/>
      <c r="D85" s="511"/>
      <c r="E85" s="512"/>
      <c r="F85" s="478"/>
      <c r="G85" s="2"/>
      <c r="H85" s="4"/>
      <c r="I85" s="4"/>
      <c r="J85" s="4"/>
      <c r="K85" s="4"/>
      <c r="L85" s="4"/>
      <c r="M85" s="5"/>
      <c r="N85" s="321"/>
      <c r="O85" s="294" t="str">
        <f t="shared" si="45"/>
        <v xml:space="preserve"> </v>
      </c>
      <c r="P85" s="314" t="str">
        <f t="shared" si="46"/>
        <v xml:space="preserve"> </v>
      </c>
      <c r="Q85" s="311" t="str">
        <f t="shared" si="47"/>
        <v xml:space="preserve"> </v>
      </c>
      <c r="R85" s="250"/>
      <c r="S85" s="151">
        <f t="shared" si="68"/>
        <v>0</v>
      </c>
      <c r="T85" s="305"/>
      <c r="U85" s="314"/>
      <c r="V85" s="152"/>
      <c r="W85" s="84"/>
      <c r="X85" s="86"/>
      <c r="Y85" s="86"/>
      <c r="Z85" s="86"/>
      <c r="AA85" s="86"/>
      <c r="AB85" s="87"/>
      <c r="AC85" s="91"/>
      <c r="AD85" s="85">
        <f>+S85*U85</f>
        <v>0</v>
      </c>
      <c r="AE85" s="85">
        <f>+S85*U85*W85</f>
        <v>0</v>
      </c>
      <c r="AF85" s="154" t="e">
        <f>(M85/N85*G85/1000*((N85*16+(1-N85)*44)/22.4))+L85</f>
        <v>#DIV/0!</v>
      </c>
      <c r="AG85" s="208" t="str">
        <f>IF(S85&gt;0,S85*U85*W85*AB85," ")</f>
        <v xml:space="preserve"> </v>
      </c>
      <c r="AH85" s="208" t="str">
        <f>IF(S85&gt;0,AG85/AC85," ")</f>
        <v xml:space="preserve"> </v>
      </c>
      <c r="AI85" s="209" t="str">
        <f t="shared" si="97"/>
        <v xml:space="preserve"> </v>
      </c>
      <c r="AJ85" s="209" t="str">
        <f t="shared" si="97"/>
        <v xml:space="preserve"> </v>
      </c>
      <c r="AK85" s="209" t="str">
        <f t="shared" si="97"/>
        <v xml:space="preserve"> </v>
      </c>
      <c r="AL85" s="209" t="str">
        <f t="shared" si="97"/>
        <v xml:space="preserve"> </v>
      </c>
      <c r="AM85" s="209" t="str">
        <f>IF(S85&gt;0,S85*V85*365/1000," ")</f>
        <v xml:space="preserve"> </v>
      </c>
      <c r="AN85" s="209"/>
      <c r="AO85" s="77"/>
      <c r="AP85" s="458">
        <f t="shared" si="76"/>
        <v>0</v>
      </c>
      <c r="AQ85" s="477"/>
      <c r="AR85" s="523"/>
      <c r="AS85" s="524"/>
      <c r="AT85" s="525"/>
      <c r="AU85" s="525"/>
      <c r="AV85" s="525"/>
      <c r="AW85" s="525"/>
      <c r="AX85" s="525"/>
      <c r="AY85" s="550"/>
      <c r="AZ85" s="526"/>
      <c r="BA85" s="89">
        <f>+AP85*AR85</f>
        <v>0</v>
      </c>
      <c r="BB85" s="89">
        <f>+AP85*AR85*AT85</f>
        <v>0</v>
      </c>
      <c r="BC85" s="210" t="str">
        <f t="shared" si="43"/>
        <v xml:space="preserve"> </v>
      </c>
      <c r="BD85" s="210" t="str">
        <f>IF(AP85&gt;0,BC85/AZ85," ")</f>
        <v xml:space="preserve"> </v>
      </c>
      <c r="BE85" s="157" t="str">
        <f>IF(AP85&gt;0,AP85*AU85," ")</f>
        <v xml:space="preserve"> </v>
      </c>
      <c r="BF85" s="157" t="str">
        <f t="shared" si="96"/>
        <v xml:space="preserve"> </v>
      </c>
      <c r="BG85" s="157" t="str">
        <f t="shared" si="96"/>
        <v xml:space="preserve"> </v>
      </c>
      <c r="BH85" s="157" t="str">
        <f t="shared" si="96"/>
        <v xml:space="preserve"> </v>
      </c>
      <c r="BI85" s="211" t="str">
        <f>IF(AP85&gt;0,AP85*AS85*365/1000," ")</f>
        <v xml:space="preserve"> </v>
      </c>
      <c r="BJ85" s="248"/>
      <c r="BK85" s="248"/>
    </row>
    <row r="86" spans="1:63" ht="12.75" customHeight="1" thickBot="1">
      <c r="A86" s="248"/>
      <c r="B86" s="248"/>
      <c r="C86" s="481" t="s">
        <v>367</v>
      </c>
      <c r="D86" s="482"/>
      <c r="E86" s="483"/>
      <c r="F86" s="438"/>
      <c r="G86" s="288"/>
      <c r="H86" s="289"/>
      <c r="I86" s="289"/>
      <c r="J86" s="289"/>
      <c r="K86" s="289"/>
      <c r="L86" s="269"/>
      <c r="M86" s="270"/>
      <c r="N86" s="292"/>
      <c r="O86" s="295" t="str">
        <f>IF(S86&gt;0,S86," ")</f>
        <v xml:space="preserve"> </v>
      </c>
      <c r="P86" s="315" t="str">
        <f>IF(U86&gt;0,U86," ")</f>
        <v xml:space="preserve"> </v>
      </c>
      <c r="Q86" s="312" t="str">
        <f>IF(V86&gt;0,V86," ")</f>
        <v xml:space="preserve"> </v>
      </c>
      <c r="R86" s="250"/>
      <c r="S86" s="458">
        <f>+T86/365</f>
        <v>0</v>
      </c>
      <c r="T86" s="496">
        <v>0</v>
      </c>
      <c r="U86" s="495"/>
      <c r="V86" s="152"/>
      <c r="W86" s="153" t="str">
        <f>IF(S86&gt;0,G86," ")</f>
        <v xml:space="preserve"> </v>
      </c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  <c r="AN86" s="312"/>
      <c r="AO86" s="77"/>
      <c r="AP86" s="458">
        <f>+AQ86/365</f>
        <v>5.3424657534246576</v>
      </c>
      <c r="AQ86" s="496">
        <v>1950</v>
      </c>
      <c r="AR86" s="473"/>
      <c r="AS86" s="474"/>
      <c r="AT86" s="474"/>
      <c r="AU86" s="474"/>
      <c r="AV86" s="474"/>
      <c r="AW86" s="474"/>
      <c r="AX86" s="474"/>
      <c r="AY86" s="551"/>
      <c r="AZ86" s="475"/>
      <c r="BA86" s="312"/>
      <c r="BB86" s="312"/>
      <c r="BC86" s="312"/>
      <c r="BD86" s="312"/>
      <c r="BE86" s="312"/>
      <c r="BF86" s="312"/>
      <c r="BG86" s="312"/>
      <c r="BH86" s="312"/>
      <c r="BI86" s="312"/>
      <c r="BJ86" s="248"/>
      <c r="BK86" s="248"/>
    </row>
    <row r="87" spans="1:63">
      <c r="A87" s="248"/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</row>
    <row r="88" spans="1:63" hidden="1" outlineLevel="1">
      <c r="A88" s="248"/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</row>
    <row r="89" spans="1:63" hidden="1" outlineLevel="1">
      <c r="A89" s="248"/>
      <c r="B89" s="248"/>
      <c r="C89" s="248"/>
      <c r="D89" s="16"/>
      <c r="E89" s="16"/>
      <c r="F89" s="16"/>
      <c r="G89" s="16"/>
      <c r="H89" s="16"/>
      <c r="I89" s="16"/>
      <c r="J89" s="16"/>
      <c r="K89" s="16"/>
      <c r="L89" s="16"/>
      <c r="M89" s="16"/>
      <c r="O89" s="158"/>
      <c r="P89" s="158"/>
      <c r="Q89" s="158"/>
      <c r="R89" s="248"/>
      <c r="S89" s="97"/>
      <c r="T89" s="97"/>
      <c r="U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9"/>
      <c r="AH89" s="159"/>
      <c r="AI89" s="98"/>
      <c r="AJ89" s="98"/>
      <c r="AK89" s="98"/>
      <c r="AL89" s="98"/>
      <c r="AM89" s="98"/>
      <c r="AN89" s="98"/>
      <c r="AO89" s="248"/>
      <c r="AP89" s="99"/>
      <c r="AQ89" s="99"/>
      <c r="AR89" s="160"/>
      <c r="AS89" s="160"/>
      <c r="AT89" s="160"/>
      <c r="AU89" s="160"/>
      <c r="AV89" s="160"/>
      <c r="AW89" s="160"/>
      <c r="AX89" s="160"/>
      <c r="AY89" s="160"/>
      <c r="AZ89" s="160"/>
      <c r="BA89" s="99">
        <f>SUM(BA30:BA86)</f>
        <v>18.912328767123288</v>
      </c>
      <c r="BB89" s="99"/>
      <c r="BC89" s="70"/>
      <c r="BD89" s="70"/>
      <c r="BE89" s="71"/>
      <c r="BF89" s="71"/>
      <c r="BG89" s="71"/>
      <c r="BH89" s="71"/>
      <c r="BI89" s="71"/>
    </row>
    <row r="90" spans="1:63" hidden="1" outlineLevel="1">
      <c r="A90" s="248"/>
      <c r="B90" s="248"/>
      <c r="C90" s="248"/>
      <c r="E90" s="15" t="s">
        <v>30</v>
      </c>
      <c r="O90" s="14" t="s">
        <v>36</v>
      </c>
      <c r="P90" s="1"/>
      <c r="Q90" s="15" t="s">
        <v>30</v>
      </c>
      <c r="R90" s="248"/>
      <c r="S90" s="1"/>
      <c r="T90" s="87">
        <f>SUM(S14:S86)</f>
        <v>37.67123293150685</v>
      </c>
      <c r="U90" s="1"/>
      <c r="AJ90" s="14" t="s">
        <v>36</v>
      </c>
      <c r="AM90" s="15" t="s">
        <v>30</v>
      </c>
      <c r="AO90" s="248"/>
      <c r="AP90" s="1"/>
      <c r="AQ90" s="161">
        <f>SUM(AP14:AP86)</f>
        <v>69.452054849315076</v>
      </c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33"/>
      <c r="BD90" s="33"/>
      <c r="BE90" s="33"/>
      <c r="BF90" s="33"/>
      <c r="BG90" s="33"/>
      <c r="BH90" s="33"/>
      <c r="BI90" s="33"/>
    </row>
    <row r="91" spans="1:63" hidden="1" outlineLevel="1">
      <c r="A91" s="248"/>
      <c r="B91" s="248"/>
      <c r="C91" s="248"/>
      <c r="E91" s="15" t="s">
        <v>30</v>
      </c>
      <c r="O91" s="14" t="s">
        <v>160</v>
      </c>
      <c r="P91" s="1"/>
      <c r="Q91" s="15" t="s">
        <v>30</v>
      </c>
      <c r="R91" s="248"/>
      <c r="S91" s="1"/>
      <c r="T91" s="87">
        <f>SUM(S41:S86)</f>
        <v>23.972602767123284</v>
      </c>
      <c r="U91" s="1"/>
      <c r="AJ91" s="14" t="s">
        <v>160</v>
      </c>
      <c r="AM91" s="15" t="s">
        <v>30</v>
      </c>
      <c r="AO91" s="248"/>
      <c r="AP91" s="1"/>
      <c r="AQ91" s="161">
        <f>SUM(AP41:AP86)</f>
        <v>61.232876739726024</v>
      </c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33"/>
      <c r="BD91" s="33"/>
      <c r="BE91" s="33"/>
      <c r="BF91" s="33"/>
      <c r="BG91" s="33"/>
      <c r="BH91" s="33"/>
      <c r="BI91" s="33"/>
    </row>
    <row r="92" spans="1:63" hidden="1" outlineLevel="1">
      <c r="A92" s="248"/>
      <c r="B92" s="248"/>
      <c r="C92" s="248"/>
      <c r="E92" s="15" t="s">
        <v>63</v>
      </c>
      <c r="O92" s="14" t="s">
        <v>62</v>
      </c>
      <c r="P92" s="1"/>
      <c r="Q92" s="15" t="s">
        <v>60</v>
      </c>
      <c r="R92" s="248"/>
      <c r="S92" s="1"/>
      <c r="T92" s="88">
        <f>SUM(AM14:AM86)</f>
        <v>0</v>
      </c>
      <c r="U92" s="1"/>
      <c r="AJ92" s="14" t="s">
        <v>62</v>
      </c>
      <c r="AM92" s="15" t="s">
        <v>63</v>
      </c>
      <c r="AO92" s="248"/>
      <c r="AP92" s="1"/>
      <c r="AQ92" s="161">
        <f>SUM(BI14:BI86)</f>
        <v>0</v>
      </c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33"/>
      <c r="BD92" s="33"/>
      <c r="BE92" s="33"/>
      <c r="BF92" s="33"/>
      <c r="BG92" s="33"/>
      <c r="BH92" s="33"/>
      <c r="BI92" s="33"/>
    </row>
    <row r="93" spans="1:63" hidden="1" outlineLevel="1">
      <c r="A93" s="248"/>
      <c r="B93" s="248"/>
      <c r="C93" s="248"/>
      <c r="E93" s="15" t="s">
        <v>63</v>
      </c>
      <c r="O93" s="14" t="s">
        <v>68</v>
      </c>
      <c r="P93" s="1"/>
      <c r="Q93" s="15" t="s">
        <v>60</v>
      </c>
      <c r="R93" s="248"/>
      <c r="S93" s="1"/>
      <c r="T93" s="88">
        <f>SUM(AM14:AM39)</f>
        <v>0</v>
      </c>
      <c r="U93" s="1"/>
      <c r="AJ93" s="14" t="s">
        <v>68</v>
      </c>
      <c r="AM93" s="15" t="s">
        <v>63</v>
      </c>
      <c r="AO93" s="248"/>
      <c r="AP93" s="1"/>
      <c r="AQ93" s="88">
        <f>SUM(BI14:BI39)</f>
        <v>0</v>
      </c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33"/>
      <c r="BD93" s="33"/>
      <c r="BE93" s="33"/>
      <c r="BF93" s="33"/>
      <c r="BG93" s="33"/>
      <c r="BH93" s="33"/>
      <c r="BI93" s="33"/>
    </row>
    <row r="94" spans="1:63" hidden="1" outlineLevel="1">
      <c r="A94" s="248"/>
      <c r="B94" s="248"/>
      <c r="C94" s="248"/>
      <c r="E94" s="15" t="s">
        <v>63</v>
      </c>
      <c r="O94" s="14" t="s">
        <v>69</v>
      </c>
      <c r="P94" s="1"/>
      <c r="Q94" s="15" t="s">
        <v>60</v>
      </c>
      <c r="R94" s="248"/>
      <c r="S94" s="1"/>
      <c r="T94" s="88">
        <f>SUM(AM41:AM68)</f>
        <v>0</v>
      </c>
      <c r="U94" s="1"/>
      <c r="AJ94" s="14" t="s">
        <v>69</v>
      </c>
      <c r="AM94" s="15" t="s">
        <v>63</v>
      </c>
      <c r="AO94" s="248"/>
      <c r="AP94" s="1"/>
      <c r="AQ94" s="88">
        <f>SUM(BI41:BI68)</f>
        <v>0</v>
      </c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33"/>
      <c r="BD94" s="33"/>
      <c r="BE94" s="33"/>
      <c r="BF94" s="33"/>
      <c r="BG94" s="33"/>
      <c r="BH94" s="33"/>
      <c r="BI94" s="33"/>
    </row>
    <row r="95" spans="1:63" hidden="1" outlineLevel="1">
      <c r="A95" s="248"/>
      <c r="B95" s="248"/>
      <c r="C95" s="248"/>
      <c r="E95" s="15" t="s">
        <v>63</v>
      </c>
      <c r="O95" s="14" t="s">
        <v>70</v>
      </c>
      <c r="P95" s="1"/>
      <c r="Q95" s="15" t="s">
        <v>60</v>
      </c>
      <c r="R95" s="248"/>
      <c r="S95" s="1"/>
      <c r="T95" s="88">
        <f>SUM(AM70:AM86)</f>
        <v>0</v>
      </c>
      <c r="U95" s="1"/>
      <c r="AJ95" s="14" t="s">
        <v>70</v>
      </c>
      <c r="AM95" s="15" t="s">
        <v>63</v>
      </c>
      <c r="AO95" s="248"/>
      <c r="AP95" s="1"/>
      <c r="AQ95" s="88">
        <f>SUM(BI70:BI86)</f>
        <v>0</v>
      </c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33"/>
      <c r="BD95" s="33"/>
      <c r="BE95" s="33"/>
      <c r="BF95" s="33"/>
      <c r="BG95" s="33"/>
      <c r="BH95" s="33"/>
      <c r="BI95" s="33"/>
    </row>
    <row r="96" spans="1:63" hidden="1" outlineLevel="1">
      <c r="A96" s="248"/>
      <c r="B96" s="248"/>
      <c r="C96" s="248"/>
      <c r="E96" s="15" t="s">
        <v>63</v>
      </c>
      <c r="O96" s="14" t="s">
        <v>71</v>
      </c>
      <c r="P96" s="1"/>
      <c r="Q96" s="15" t="s">
        <v>60</v>
      </c>
      <c r="R96" s="248"/>
      <c r="S96" s="1"/>
      <c r="T96" s="88">
        <f>SUM(AM82:AM86)</f>
        <v>0</v>
      </c>
      <c r="U96" s="1"/>
      <c r="AJ96" s="14" t="s">
        <v>71</v>
      </c>
      <c r="AM96" s="15" t="s">
        <v>63</v>
      </c>
      <c r="AO96" s="248"/>
      <c r="AP96" s="1"/>
      <c r="AQ96" s="88">
        <f>SUM(BI82:BI86)</f>
        <v>0</v>
      </c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33"/>
      <c r="BD96" s="33"/>
      <c r="BE96" s="33"/>
      <c r="BF96" s="33"/>
      <c r="BG96" s="33"/>
      <c r="BH96" s="33"/>
      <c r="BI96" s="33"/>
    </row>
    <row r="97" spans="1:61" hidden="1" outlineLevel="1">
      <c r="A97" s="248"/>
      <c r="B97" s="248"/>
      <c r="C97" s="248"/>
      <c r="E97" s="15" t="s">
        <v>30</v>
      </c>
      <c r="O97" s="14" t="s">
        <v>48</v>
      </c>
      <c r="P97" s="1"/>
      <c r="Q97" s="15" t="s">
        <v>30</v>
      </c>
      <c r="R97" s="248"/>
      <c r="S97" s="1"/>
      <c r="T97" s="87">
        <f>SUM(AD14:AD86)</f>
        <v>8.8698630136986338</v>
      </c>
      <c r="U97" s="1"/>
      <c r="AJ97" s="14" t="s">
        <v>48</v>
      </c>
      <c r="AM97" s="15" t="s">
        <v>30</v>
      </c>
      <c r="AO97" s="248"/>
      <c r="AP97" s="1"/>
      <c r="AQ97" s="90">
        <f>SUM(BA14:BA86)</f>
        <v>18.912328767123292</v>
      </c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33"/>
      <c r="BD97" s="33"/>
      <c r="BE97" s="33"/>
      <c r="BF97" s="33"/>
      <c r="BG97" s="33"/>
      <c r="BH97" s="33"/>
      <c r="BI97" s="33"/>
    </row>
    <row r="98" spans="1:61" hidden="1" outlineLevel="1">
      <c r="A98" s="248"/>
      <c r="B98" s="248"/>
      <c r="C98" s="248"/>
      <c r="E98" s="15" t="s">
        <v>30</v>
      </c>
      <c r="O98" s="14" t="s">
        <v>43</v>
      </c>
      <c r="P98" s="1"/>
      <c r="Q98" s="15" t="s">
        <v>30</v>
      </c>
      <c r="R98" s="248"/>
      <c r="S98" s="1"/>
      <c r="T98" s="87">
        <f>SUM(AE14:AE86)</f>
        <v>8.3209589041095917</v>
      </c>
      <c r="U98" s="1"/>
      <c r="AJ98" s="14" t="s">
        <v>43</v>
      </c>
      <c r="AM98" s="15" t="s">
        <v>30</v>
      </c>
      <c r="AO98" s="248"/>
      <c r="AP98" s="1"/>
      <c r="AQ98" s="90">
        <f>SUM(BB14:BB86)</f>
        <v>17.581095890410964</v>
      </c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33"/>
      <c r="BD98" s="33"/>
      <c r="BE98" s="33"/>
      <c r="BF98" s="33"/>
      <c r="BG98" s="33"/>
      <c r="BH98" s="33"/>
      <c r="BI98" s="33"/>
    </row>
    <row r="99" spans="1:61" hidden="1" outlineLevel="1">
      <c r="A99" s="248"/>
      <c r="B99" s="248"/>
      <c r="C99" s="248"/>
      <c r="E99" s="15" t="s">
        <v>45</v>
      </c>
      <c r="O99" s="14" t="s">
        <v>49</v>
      </c>
      <c r="P99" s="1"/>
      <c r="Q99" s="15" t="s">
        <v>45</v>
      </c>
      <c r="R99" s="248"/>
      <c r="S99" s="1"/>
      <c r="T99" s="88">
        <f>SUM(AI14:AI86)</f>
        <v>191.25517680790063</v>
      </c>
      <c r="U99" s="1"/>
      <c r="AJ99" s="14" t="s">
        <v>49</v>
      </c>
      <c r="AM99" s="15" t="s">
        <v>45</v>
      </c>
      <c r="AO99" s="248"/>
      <c r="AP99" s="1"/>
      <c r="AQ99" s="78">
        <f>SUM(BE14:BE86)</f>
        <v>324.17123287671245</v>
      </c>
      <c r="AT99" s="127"/>
      <c r="AU99" s="127"/>
      <c r="AV99" s="127"/>
      <c r="AW99" s="127"/>
      <c r="AX99" s="127"/>
      <c r="AY99" s="127"/>
      <c r="AZ99" s="127"/>
      <c r="BA99" s="127"/>
      <c r="BB99" s="127"/>
      <c r="BC99" s="33"/>
      <c r="BD99" s="33"/>
      <c r="BE99" s="33"/>
      <c r="BF99" s="33"/>
      <c r="BG99" s="33"/>
      <c r="BH99" s="33"/>
      <c r="BI99" s="33"/>
    </row>
    <row r="100" spans="1:61" hidden="1" outlineLevel="1">
      <c r="A100" s="248"/>
      <c r="B100" s="248"/>
      <c r="C100" s="248"/>
      <c r="E100" s="15" t="s">
        <v>45</v>
      </c>
      <c r="O100" s="14" t="s">
        <v>145</v>
      </c>
      <c r="P100" s="1"/>
      <c r="Q100" s="15" t="s">
        <v>45</v>
      </c>
      <c r="R100" s="248"/>
      <c r="S100" s="1"/>
      <c r="T100" s="88">
        <f>SUM(AJ14:AJ86)</f>
        <v>44.19225868110864</v>
      </c>
      <c r="U100" s="1"/>
      <c r="AJ100" s="14" t="s">
        <v>145</v>
      </c>
      <c r="AM100" s="15" t="s">
        <v>45</v>
      </c>
      <c r="AO100" s="248"/>
      <c r="AP100" s="1"/>
      <c r="AQ100" s="78">
        <f>SUM(BF14:BF86)</f>
        <v>72.731506849315096</v>
      </c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33"/>
      <c r="BD100" s="33"/>
      <c r="BE100" s="33"/>
      <c r="BF100" s="33"/>
      <c r="BG100" s="33"/>
      <c r="BH100" s="33"/>
      <c r="BI100" s="33"/>
    </row>
    <row r="101" spans="1:61" hidden="1" outlineLevel="1">
      <c r="A101" s="248"/>
      <c r="B101" s="248"/>
      <c r="C101" s="248"/>
      <c r="E101" s="15" t="s">
        <v>45</v>
      </c>
      <c r="O101" s="14" t="s">
        <v>146</v>
      </c>
      <c r="P101" s="1"/>
      <c r="Q101" s="15" t="s">
        <v>45</v>
      </c>
      <c r="R101" s="248"/>
      <c r="S101" s="1"/>
      <c r="T101" s="88">
        <f>SUM(AK14:AK86)</f>
        <v>144.4233832430711</v>
      </c>
      <c r="U101" s="1"/>
      <c r="AJ101" s="14" t="s">
        <v>146</v>
      </c>
      <c r="AM101" s="15" t="s">
        <v>45</v>
      </c>
      <c r="AO101" s="248"/>
      <c r="AP101" s="1"/>
      <c r="AQ101" s="78">
        <f>SUM(BG14:BG86)</f>
        <v>303.30136986301386</v>
      </c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33"/>
      <c r="BD101" s="33"/>
      <c r="BE101" s="33"/>
      <c r="BF101" s="33"/>
      <c r="BG101" s="33"/>
      <c r="BH101" s="33"/>
      <c r="BI101" s="33"/>
    </row>
    <row r="102" spans="1:61" hidden="1" outlineLevel="1">
      <c r="A102" s="248"/>
      <c r="B102" s="248"/>
      <c r="C102" s="248"/>
      <c r="E102" s="15" t="s">
        <v>45</v>
      </c>
      <c r="O102" s="14" t="s">
        <v>147</v>
      </c>
      <c r="P102" s="1"/>
      <c r="Q102" s="15" t="s">
        <v>45</v>
      </c>
      <c r="R102" s="248"/>
      <c r="S102" s="1"/>
      <c r="T102" s="88">
        <f>SUM(AL14:AL86)</f>
        <v>24.794520547945204</v>
      </c>
      <c r="U102" s="1"/>
      <c r="AJ102" s="14" t="s">
        <v>147</v>
      </c>
      <c r="AM102" s="15" t="s">
        <v>45</v>
      </c>
      <c r="AO102" s="248"/>
      <c r="AP102" s="1"/>
      <c r="AQ102" s="78">
        <f>SUM(BH14:BH86)</f>
        <v>51.184931506849317</v>
      </c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33"/>
      <c r="BD102" s="33"/>
      <c r="BE102" s="33"/>
      <c r="BF102" s="33"/>
      <c r="BG102" s="33"/>
      <c r="BH102" s="33"/>
      <c r="BI102" s="33"/>
    </row>
    <row r="103" spans="1:61" hidden="1" outlineLevel="1">
      <c r="A103" s="248"/>
      <c r="B103" s="248"/>
      <c r="C103" s="248"/>
      <c r="E103" s="15" t="s">
        <v>34</v>
      </c>
      <c r="O103" s="14" t="s">
        <v>44</v>
      </c>
      <c r="P103" s="1"/>
      <c r="Q103" s="15" t="s">
        <v>34</v>
      </c>
      <c r="R103" s="248"/>
      <c r="S103" s="1"/>
      <c r="T103" s="163">
        <f>SUM(AG14:AG86)</f>
        <v>2793.306849315069</v>
      </c>
      <c r="U103" s="1"/>
      <c r="AJ103" s="14" t="s">
        <v>44</v>
      </c>
      <c r="AM103" s="15" t="s">
        <v>34</v>
      </c>
      <c r="AO103" s="248"/>
      <c r="AP103" s="1"/>
      <c r="AQ103" s="164">
        <f>SUM(BC14:BC86)</f>
        <v>5846.2712328767129</v>
      </c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33"/>
      <c r="BD103" s="33"/>
      <c r="BE103" s="33"/>
      <c r="BF103" s="33"/>
      <c r="BG103" s="33"/>
      <c r="BH103" s="33"/>
      <c r="BI103" s="33"/>
    </row>
    <row r="104" spans="1:61" hidden="1" outlineLevel="1">
      <c r="A104" s="248"/>
      <c r="B104" s="248"/>
      <c r="C104" s="248"/>
      <c r="E104" s="15" t="s">
        <v>34</v>
      </c>
      <c r="O104" s="14" t="s">
        <v>38</v>
      </c>
      <c r="P104" s="1"/>
      <c r="Q104" s="15" t="s">
        <v>34</v>
      </c>
      <c r="R104" s="248"/>
      <c r="S104" s="1"/>
      <c r="T104" s="163">
        <f>SUM(AH14:AH86)</f>
        <v>5329.5943097997897</v>
      </c>
      <c r="U104" s="1"/>
      <c r="AJ104" s="14" t="s">
        <v>38</v>
      </c>
      <c r="AM104" s="15" t="s">
        <v>34</v>
      </c>
      <c r="AO104" s="248"/>
      <c r="AP104" s="1"/>
      <c r="AQ104" s="164">
        <f>SUM(BD14:BD86)</f>
        <v>11151.811440046127</v>
      </c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33"/>
      <c r="BD104" s="33"/>
      <c r="BE104" s="33"/>
      <c r="BF104" s="33"/>
      <c r="BG104" s="33"/>
      <c r="BH104" s="33"/>
      <c r="BI104" s="33"/>
    </row>
    <row r="105" spans="1:61" hidden="1" outlineLevel="1">
      <c r="A105" s="248"/>
      <c r="B105" s="248"/>
      <c r="C105" s="248"/>
      <c r="E105" s="15"/>
      <c r="O105" s="120" t="s">
        <v>183</v>
      </c>
      <c r="P105" s="1"/>
      <c r="Q105" s="15"/>
      <c r="R105" s="248"/>
      <c r="S105" s="1"/>
      <c r="T105" s="159"/>
      <c r="U105" s="1"/>
      <c r="AJ105" s="120" t="s">
        <v>183</v>
      </c>
      <c r="AM105" s="15"/>
      <c r="AO105" s="248"/>
      <c r="AP105" s="1"/>
      <c r="AQ105" s="165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33"/>
      <c r="BD105" s="33"/>
      <c r="BE105" s="33"/>
      <c r="BF105" s="33"/>
      <c r="BG105" s="33"/>
      <c r="BH105" s="33"/>
      <c r="BI105" s="33"/>
    </row>
    <row r="106" spans="1:61" hidden="1" outlineLevel="1">
      <c r="A106" s="248"/>
      <c r="B106" s="248"/>
      <c r="C106" s="248"/>
      <c r="E106" s="15" t="s">
        <v>45</v>
      </c>
      <c r="O106" s="14" t="s">
        <v>49</v>
      </c>
      <c r="P106" s="1"/>
      <c r="Q106" s="15" t="s">
        <v>45</v>
      </c>
      <c r="R106" s="248"/>
      <c r="S106" s="1"/>
      <c r="T106" s="88">
        <f>SUM(AI41:AI86)</f>
        <v>113.99490283529789</v>
      </c>
      <c r="U106" s="1"/>
      <c r="AJ106" s="14" t="s">
        <v>49</v>
      </c>
      <c r="AM106" s="15" t="s">
        <v>45</v>
      </c>
      <c r="AO106" s="248"/>
      <c r="AP106" s="1"/>
      <c r="AQ106" s="78">
        <f>SUM(BE41:BE86)</f>
        <v>277.8150684931507</v>
      </c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33"/>
      <c r="BD106" s="33"/>
      <c r="BE106" s="33"/>
      <c r="BF106" s="33"/>
      <c r="BG106" s="33"/>
      <c r="BH106" s="33"/>
      <c r="BI106" s="33"/>
    </row>
    <row r="107" spans="1:61" hidden="1" outlineLevel="1">
      <c r="A107" s="248"/>
      <c r="B107" s="248"/>
      <c r="C107" s="248"/>
      <c r="E107" s="15" t="s">
        <v>45</v>
      </c>
      <c r="O107" s="14" t="s">
        <v>145</v>
      </c>
      <c r="P107" s="1"/>
      <c r="Q107" s="15" t="s">
        <v>45</v>
      </c>
      <c r="R107" s="248"/>
      <c r="S107" s="1"/>
      <c r="T107" s="88">
        <f>SUM(AJ41:AJ86)</f>
        <v>21.055272379738778</v>
      </c>
      <c r="U107" s="1"/>
      <c r="AJ107" s="14" t="s">
        <v>145</v>
      </c>
      <c r="AM107" s="15" t="s">
        <v>45</v>
      </c>
      <c r="AO107" s="248"/>
      <c r="AP107" s="1"/>
      <c r="AQ107" s="78">
        <f>SUM(BF41:BF86)</f>
        <v>58.849315068493155</v>
      </c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33"/>
      <c r="BD107" s="33"/>
      <c r="BE107" s="33"/>
      <c r="BF107" s="33"/>
      <c r="BG107" s="33"/>
      <c r="BH107" s="33"/>
      <c r="BI107" s="33"/>
    </row>
    <row r="108" spans="1:61" hidden="1" outlineLevel="1">
      <c r="A108" s="248"/>
      <c r="B108" s="248"/>
      <c r="C108" s="248"/>
      <c r="E108" s="15" t="s">
        <v>45</v>
      </c>
      <c r="O108" s="14" t="s">
        <v>146</v>
      </c>
      <c r="P108" s="1"/>
      <c r="Q108" s="15" t="s">
        <v>45</v>
      </c>
      <c r="R108" s="248"/>
      <c r="S108" s="1"/>
      <c r="T108" s="88">
        <f>SUM(AK41:AK86)</f>
        <v>101.27269831156424</v>
      </c>
      <c r="U108" s="1"/>
      <c r="AJ108" s="14" t="s">
        <v>146</v>
      </c>
      <c r="AM108" s="15" t="s">
        <v>45</v>
      </c>
      <c r="AO108" s="248"/>
      <c r="AP108" s="1"/>
      <c r="AQ108" s="78">
        <f>SUM(BG41:BG86)</f>
        <v>277.41095890410958</v>
      </c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33"/>
      <c r="BD108" s="33"/>
      <c r="BE108" s="33"/>
      <c r="BF108" s="33"/>
      <c r="BG108" s="33"/>
      <c r="BH108" s="33"/>
      <c r="BI108" s="33"/>
    </row>
    <row r="109" spans="1:61" hidden="1" outlineLevel="1">
      <c r="A109" s="248"/>
      <c r="B109" s="248"/>
      <c r="C109" s="248"/>
      <c r="E109" s="15" t="s">
        <v>45</v>
      </c>
      <c r="O109" s="14" t="s">
        <v>147</v>
      </c>
      <c r="P109" s="1"/>
      <c r="Q109" s="15" t="s">
        <v>45</v>
      </c>
      <c r="R109" s="248"/>
      <c r="S109" s="1"/>
      <c r="T109" s="88">
        <f>SUM(AL41:AL86)</f>
        <v>18.63013698630137</v>
      </c>
      <c r="U109" s="1"/>
      <c r="AJ109" s="14" t="s">
        <v>147</v>
      </c>
      <c r="AM109" s="15" t="s">
        <v>45</v>
      </c>
      <c r="AO109" s="248"/>
      <c r="AP109" s="1"/>
      <c r="AQ109" s="78">
        <f>SUM(BH41:BH86)</f>
        <v>47.486301369863014</v>
      </c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33"/>
      <c r="BD109" s="33"/>
      <c r="BE109" s="33"/>
      <c r="BF109" s="33"/>
      <c r="BG109" s="33"/>
      <c r="BH109" s="33"/>
      <c r="BI109" s="33"/>
    </row>
    <row r="110" spans="1:61" hidden="1" outlineLevel="1">
      <c r="A110" s="248"/>
      <c r="B110" s="248"/>
      <c r="C110" s="248"/>
      <c r="E110" s="15" t="s">
        <v>34</v>
      </c>
      <c r="O110" s="14" t="s">
        <v>44</v>
      </c>
      <c r="P110" s="1"/>
      <c r="Q110" s="15" t="s">
        <v>34</v>
      </c>
      <c r="R110" s="248"/>
      <c r="S110" s="1"/>
      <c r="T110" s="163">
        <f>SUM(AG41:AG86)</f>
        <v>2628.9232876712335</v>
      </c>
      <c r="U110" s="1"/>
      <c r="AJ110" s="14" t="s">
        <v>44</v>
      </c>
      <c r="AM110" s="15" t="s">
        <v>34</v>
      </c>
      <c r="AO110" s="248"/>
      <c r="AP110" s="1"/>
      <c r="AQ110" s="164">
        <f>SUM(BC41:BC86)</f>
        <v>5747.6410958904107</v>
      </c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33"/>
      <c r="BD110" s="33"/>
      <c r="BE110" s="33"/>
      <c r="BF110" s="33"/>
      <c r="BG110" s="33"/>
      <c r="BH110" s="33"/>
      <c r="BI110" s="33"/>
    </row>
    <row r="111" spans="1:61" hidden="1" outlineLevel="1">
      <c r="A111" s="248"/>
      <c r="B111" s="248"/>
      <c r="C111" s="248"/>
      <c r="E111" s="15" t="s">
        <v>34</v>
      </c>
      <c r="O111" s="14" t="s">
        <v>38</v>
      </c>
      <c r="P111" s="1"/>
      <c r="Q111" s="15" t="s">
        <v>34</v>
      </c>
      <c r="R111" s="248"/>
      <c r="S111" s="1"/>
      <c r="T111" s="163">
        <f>SUM(AH41:AH86)</f>
        <v>5055.6217070600642</v>
      </c>
      <c r="U111" s="1"/>
      <c r="AJ111" s="14" t="s">
        <v>38</v>
      </c>
      <c r="AM111" s="15" t="s">
        <v>34</v>
      </c>
      <c r="AO111" s="248"/>
      <c r="AP111" s="1"/>
      <c r="AQ111" s="164">
        <f>SUM(BD41:BD86)</f>
        <v>10987.42787840229</v>
      </c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33"/>
      <c r="BD111" s="33"/>
      <c r="BE111" s="33"/>
      <c r="BF111" s="33"/>
      <c r="BG111" s="33"/>
      <c r="BH111" s="33"/>
      <c r="BI111" s="33"/>
    </row>
    <row r="112" spans="1:61" hidden="1" outlineLevel="1">
      <c r="A112" s="248"/>
      <c r="B112" s="248"/>
      <c r="C112" s="248"/>
      <c r="D112" s="15"/>
      <c r="M112" s="14"/>
      <c r="N112" s="15"/>
      <c r="R112" s="248"/>
      <c r="S112" s="159"/>
      <c r="T112" s="159"/>
      <c r="AJ112" s="14"/>
      <c r="AK112" s="15"/>
      <c r="AO112" s="248"/>
      <c r="AP112" s="165"/>
      <c r="AQ112" s="165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33"/>
      <c r="BD112" s="33"/>
      <c r="BE112" s="33"/>
      <c r="BF112" s="33"/>
      <c r="BG112" s="33"/>
      <c r="BH112" s="33"/>
      <c r="BI112" s="33"/>
    </row>
    <row r="113" spans="1:63" hidden="1" outlineLevel="1">
      <c r="A113" s="248"/>
      <c r="B113" s="248"/>
      <c r="C113" s="248"/>
      <c r="D113" s="15"/>
      <c r="M113" s="14"/>
      <c r="N113" s="15"/>
      <c r="R113" s="248"/>
      <c r="S113" s="159"/>
      <c r="T113" s="159"/>
      <c r="AJ113" s="14"/>
      <c r="AK113" s="15"/>
      <c r="AO113" s="248"/>
      <c r="AP113" s="165"/>
      <c r="AQ113" s="165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33"/>
      <c r="BD113" s="33"/>
      <c r="BE113" s="33"/>
      <c r="BF113" s="33"/>
      <c r="BG113" s="33"/>
      <c r="BH113" s="33"/>
      <c r="BI113" s="33"/>
    </row>
    <row r="114" spans="1:63" hidden="1" outlineLevel="1">
      <c r="A114" s="248"/>
      <c r="B114" s="248"/>
      <c r="C114" s="248"/>
      <c r="R114" s="248"/>
      <c r="AO114" s="248"/>
      <c r="AP114" s="129"/>
      <c r="AQ114" s="129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33"/>
      <c r="BD114" s="33"/>
      <c r="BE114" s="33"/>
      <c r="BF114" s="33"/>
      <c r="BG114" s="33"/>
      <c r="BH114" s="33"/>
      <c r="BI114" s="33"/>
    </row>
    <row r="115" spans="1:63" ht="11.25" customHeight="1" collapsed="1">
      <c r="A115" s="248"/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  <c r="BI115" s="248"/>
      <c r="BJ115" s="248"/>
      <c r="BK115" s="248"/>
    </row>
    <row r="120" spans="1:63">
      <c r="M120" s="102"/>
    </row>
    <row r="121" spans="1:63">
      <c r="M121" s="102"/>
    </row>
    <row r="122" spans="1:63">
      <c r="M122" s="102"/>
    </row>
  </sheetData>
  <sheetProtection password="DAC5" sheet="1" objects="1" scenarios="1"/>
  <mergeCells count="12">
    <mergeCell ref="AU2:AX2"/>
    <mergeCell ref="H11:K11"/>
    <mergeCell ref="AU11:AX11"/>
    <mergeCell ref="C4:E4"/>
    <mergeCell ref="O10:P10"/>
    <mergeCell ref="AP10:AZ10"/>
    <mergeCell ref="AU4:AX4"/>
    <mergeCell ref="AU6:AX6"/>
    <mergeCell ref="AU8:AX8"/>
    <mergeCell ref="D10:E10"/>
    <mergeCell ref="S10:AC10"/>
    <mergeCell ref="X11:AA11"/>
  </mergeCells>
  <phoneticPr fontId="0" type="noConversion"/>
  <conditionalFormatting sqref="AT14:AT39 AT41:AT68 AT70:AT80">
    <cfRule type="cellIs" dxfId="12" priority="1" stopIfTrue="1" operator="notEqual">
      <formula>IF(AP14&gt;0,G14," ")</formula>
    </cfRule>
  </conditionalFormatting>
  <conditionalFormatting sqref="AU70:AU80 AU41:AU68 AU14:AU39">
    <cfRule type="cellIs" dxfId="11" priority="2" stopIfTrue="1" operator="notEqual">
      <formula>IF(AP14&gt;0,H14*$AR14/$F14," ")</formula>
    </cfRule>
  </conditionalFormatting>
  <conditionalFormatting sqref="AV14:AV39 AV41:AV68 AV70:AV80">
    <cfRule type="cellIs" dxfId="10" priority="3" stopIfTrue="1" operator="notEqual">
      <formula>IF(AP14&gt;0,I14*$AR14/$F14," ")</formula>
    </cfRule>
  </conditionalFormatting>
  <conditionalFormatting sqref="AW14:AX39 AW41:AX68 AW70:AX80">
    <cfRule type="cellIs" dxfId="9" priority="4" stopIfTrue="1" operator="notEqual">
      <formula>IF(AP14&gt;0,J14*$AR14/$F14," ")</formula>
    </cfRule>
  </conditionalFormatting>
  <conditionalFormatting sqref="AY14:AY39 AY41:AY68 AY70:AY80">
    <cfRule type="cellIs" dxfId="8" priority="5" stopIfTrue="1" operator="notEqual">
      <formula>IF(AP14&gt;0,M14," ")</formula>
    </cfRule>
  </conditionalFormatting>
  <conditionalFormatting sqref="AZ14:AZ39 AZ41:AZ68 AZ70:AZ80">
    <cfRule type="cellIs" dxfId="7" priority="6" stopIfTrue="1" operator="notEqual">
      <formula>IF(AP14&gt;0,N14," ")</formula>
    </cfRule>
  </conditionalFormatting>
  <conditionalFormatting sqref="U30:U31 AR30:AR31">
    <cfRule type="cellIs" dxfId="6" priority="7" stopIfTrue="1" operator="notBetween">
      <formula>0</formula>
      <formula>0.15</formula>
    </cfRule>
  </conditionalFormatting>
  <conditionalFormatting sqref="U37:U39 AR37:AR39">
    <cfRule type="cellIs" dxfId="5" priority="8" stopIfTrue="1" operator="notBetween">
      <formula>0</formula>
      <formula>0.1</formula>
    </cfRule>
  </conditionalFormatting>
  <conditionalFormatting sqref="U35:U36 AR35:AR36">
    <cfRule type="cellIs" priority="9" stopIfTrue="1" operator="notBetween">
      <formula>0.1</formula>
      <formula>0.3</formula>
    </cfRule>
  </conditionalFormatting>
  <conditionalFormatting sqref="U32 AR32">
    <cfRule type="cellIs" dxfId="4" priority="10" stopIfTrue="1" operator="notBetween">
      <formula>0</formula>
      <formula>0.4</formula>
    </cfRule>
  </conditionalFormatting>
  <conditionalFormatting sqref="U33 AR33">
    <cfRule type="cellIs" dxfId="3" priority="11" stopIfTrue="1" operator="notBetween">
      <formula>0</formula>
      <formula>0.6</formula>
    </cfRule>
  </conditionalFormatting>
  <conditionalFormatting sqref="U34 AR34">
    <cfRule type="cellIs" dxfId="2" priority="12" stopIfTrue="1" operator="notBetween">
      <formula>0</formula>
      <formula>0.9</formula>
    </cfRule>
  </conditionalFormatting>
  <conditionalFormatting sqref="U65 AR65">
    <cfRule type="cellIs" priority="13" stopIfTrue="1" operator="notBetween">
      <formula>0</formula>
      <formula>0.5</formula>
    </cfRule>
  </conditionalFormatting>
  <conditionalFormatting sqref="U59:U60 U62:U64 AR59:AR60 AR62:AR64">
    <cfRule type="cellIs" dxfId="1" priority="14" stopIfTrue="1" operator="notBetween">
      <formula>0</formula>
      <formula>0.5</formula>
    </cfRule>
  </conditionalFormatting>
  <conditionalFormatting sqref="U72:U76 AR72:AR76">
    <cfRule type="cellIs" dxfId="0" priority="15" stopIfTrue="1" operator="notBetween">
      <formula>0</formula>
      <formula>0.99</formula>
    </cfRule>
  </conditionalFormatting>
  <conditionalFormatting sqref="U77:U80 AR77:AR80">
    <cfRule type="cellIs" priority="16" stopIfTrue="1" operator="notBetween">
      <formula>0</formula>
      <formula>0.6</formula>
    </cfRule>
  </conditionalFormatting>
  <hyperlinks>
    <hyperlink ref="AU4" location="T!A1" tooltip="...zur Startseite" display="START - Seite"/>
    <hyperlink ref="AU6" location="Hinweise!A1" tooltip="... weitere Erklärungen" display="HINWEISE"/>
    <hyperlink ref="AU4:AV4" location="T!A1" tooltip="...zur Startseite" display="START-Seite"/>
    <hyperlink ref="AU8" location="Hinweise!A1" tooltip="... weitere Erklärungen" display="HINWEISE"/>
    <hyperlink ref="AU8:AV8" location="Kalkulation!A1" tooltip="... weitere Erklärungen" display="Kalkulation"/>
    <hyperlink ref="AU6:AX6" location="Hinweise!A1" tooltip="... weitere Erklärungen" display="Hinweise"/>
    <hyperlink ref="AU8:AX8" location="Kalkulation!A1" tooltip="... zum Blatt Kalkulation" display="Kalkulation"/>
    <hyperlink ref="AU4:AX4" location="Start!A1" tooltip="...zur Startseite" display="START-Seite"/>
  </hyperlinks>
  <pageMargins left="0.78740157499999996" right="0.78740157499999996" top="0.61" bottom="0.55000000000000004" header="0.4921259845" footer="0.4921259845"/>
  <pageSetup paperSize="9" scale="76" orientation="landscape" r:id="rId1"/>
  <headerFooter alignWithMargins="0"/>
  <colBreaks count="1" manualBreakCount="1">
    <brk id="5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J136"/>
  <sheetViews>
    <sheetView showGridLines="0" topLeftCell="A25" zoomScaleNormal="100" zoomScaleSheetLayoutView="100" workbookViewId="0">
      <pane xSplit="1" ySplit="10" topLeftCell="B35" activePane="bottomRight" state="frozen"/>
      <selection activeCell="A25" sqref="A25"/>
      <selection pane="topRight" activeCell="B25" sqref="B25"/>
      <selection pane="bottomLeft" activeCell="A35" sqref="A35"/>
      <selection pane="bottomRight" activeCell="M46" sqref="M46"/>
    </sheetView>
  </sheetViews>
  <sheetFormatPr baseColWidth="10" defaultRowHeight="12.75" outlineLevelRow="1"/>
  <cols>
    <col min="1" max="1" width="3.140625" customWidth="1"/>
    <col min="2" max="2" width="3.42578125" style="334" customWidth="1"/>
    <col min="3" max="3" width="31.42578125" customWidth="1"/>
    <col min="4" max="4" width="12" style="3" customWidth="1"/>
    <col min="5" max="5" width="15.7109375" style="3" customWidth="1"/>
    <col min="6" max="7" width="15.7109375" customWidth="1"/>
    <col min="8" max="8" width="32" style="3" customWidth="1"/>
    <col min="9" max="9" width="5.5703125" style="230" customWidth="1"/>
    <col min="10" max="10" width="5.28515625" customWidth="1"/>
    <col min="11" max="11" width="6.28515625" customWidth="1"/>
  </cols>
  <sheetData>
    <row r="1" spans="2:9" ht="15.75" hidden="1" outlineLevel="1">
      <c r="B1" s="330"/>
      <c r="C1" s="231" t="s">
        <v>368</v>
      </c>
      <c r="D1" s="96"/>
      <c r="E1" s="96"/>
      <c r="F1" s="96"/>
      <c r="G1" s="96"/>
      <c r="H1" s="96"/>
      <c r="I1" s="235"/>
    </row>
    <row r="2" spans="2:9" ht="12.75" hidden="1" customHeight="1" outlineLevel="1">
      <c r="B2" s="330"/>
      <c r="C2" s="232" t="s">
        <v>36</v>
      </c>
      <c r="D2" s="233" t="s">
        <v>30</v>
      </c>
      <c r="E2" s="233">
        <f>+Substrat!T90</f>
        <v>37.67123293150685</v>
      </c>
      <c r="F2" s="233">
        <f>+Substrat!T90</f>
        <v>37.67123293150685</v>
      </c>
      <c r="G2" s="233">
        <f>+Substrat!AQ90</f>
        <v>69.452054849315076</v>
      </c>
      <c r="H2" s="14" t="s">
        <v>36</v>
      </c>
      <c r="I2" s="232"/>
    </row>
    <row r="3" spans="2:9" ht="12.75" hidden="1" customHeight="1" outlineLevel="1">
      <c r="B3" s="330"/>
      <c r="C3" s="232" t="s">
        <v>160</v>
      </c>
      <c r="D3" s="233" t="s">
        <v>30</v>
      </c>
      <c r="E3" s="233">
        <f>+Substrat!T91</f>
        <v>23.972602767123284</v>
      </c>
      <c r="F3" s="233">
        <f>+Substrat!T91</f>
        <v>23.972602767123284</v>
      </c>
      <c r="G3" s="233">
        <f>+Substrat!AQ91</f>
        <v>61.232876739726024</v>
      </c>
      <c r="H3" s="14" t="s">
        <v>160</v>
      </c>
      <c r="I3" s="232"/>
    </row>
    <row r="4" spans="2:9" ht="12.75" hidden="1" customHeight="1" outlineLevel="1">
      <c r="B4" s="330"/>
      <c r="C4" s="232" t="s">
        <v>62</v>
      </c>
      <c r="D4" s="233" t="s">
        <v>63</v>
      </c>
      <c r="E4" s="233">
        <f>+Substrat!T92</f>
        <v>0</v>
      </c>
      <c r="F4" s="233">
        <f>+Substrat!T92</f>
        <v>0</v>
      </c>
      <c r="G4" s="233">
        <f>+Substrat!AQ92</f>
        <v>0</v>
      </c>
      <c r="H4" s="14" t="s">
        <v>62</v>
      </c>
      <c r="I4" s="232"/>
    </row>
    <row r="5" spans="2:9" ht="12.75" hidden="1" customHeight="1" outlineLevel="1">
      <c r="B5" s="330"/>
      <c r="C5" s="232" t="s">
        <v>68</v>
      </c>
      <c r="D5" s="233" t="s">
        <v>63</v>
      </c>
      <c r="E5" s="233">
        <f>+Substrat!T93</f>
        <v>0</v>
      </c>
      <c r="F5" s="233">
        <f>+Substrat!T93</f>
        <v>0</v>
      </c>
      <c r="G5" s="233">
        <f>+Substrat!AQ93</f>
        <v>0</v>
      </c>
      <c r="H5" s="14" t="s">
        <v>68</v>
      </c>
      <c r="I5" s="232"/>
    </row>
    <row r="6" spans="2:9" ht="12.75" hidden="1" customHeight="1" outlineLevel="1">
      <c r="B6" s="330"/>
      <c r="C6" s="232" t="s">
        <v>69</v>
      </c>
      <c r="D6" s="233" t="s">
        <v>63</v>
      </c>
      <c r="E6" s="233">
        <f>+Substrat!T94</f>
        <v>0</v>
      </c>
      <c r="F6" s="233">
        <f>+Substrat!T94</f>
        <v>0</v>
      </c>
      <c r="G6" s="233">
        <f>+Substrat!AQ94</f>
        <v>0</v>
      </c>
      <c r="H6" s="14" t="s">
        <v>69</v>
      </c>
      <c r="I6" s="232"/>
    </row>
    <row r="7" spans="2:9" ht="12.75" hidden="1" customHeight="1" outlineLevel="1">
      <c r="B7" s="330"/>
      <c r="C7" s="232" t="s">
        <v>70</v>
      </c>
      <c r="D7" s="233" t="s">
        <v>63</v>
      </c>
      <c r="E7" s="233">
        <f>+Substrat!T95</f>
        <v>0</v>
      </c>
      <c r="F7" s="233">
        <f>+Substrat!T95</f>
        <v>0</v>
      </c>
      <c r="G7" s="233">
        <f>+Substrat!AQ95</f>
        <v>0</v>
      </c>
      <c r="H7" s="14" t="s">
        <v>70</v>
      </c>
      <c r="I7" s="232"/>
    </row>
    <row r="8" spans="2:9" ht="12.75" hidden="1" customHeight="1" outlineLevel="1">
      <c r="B8" s="330"/>
      <c r="C8" s="232" t="s">
        <v>71</v>
      </c>
      <c r="D8" s="233" t="s">
        <v>63</v>
      </c>
      <c r="E8" s="233">
        <f>+Substrat!T96</f>
        <v>0</v>
      </c>
      <c r="F8" s="233">
        <f>+Substrat!T96</f>
        <v>0</v>
      </c>
      <c r="G8" s="233">
        <f>+Substrat!AQ96</f>
        <v>0</v>
      </c>
      <c r="H8" s="14" t="s">
        <v>71</v>
      </c>
      <c r="I8" s="232"/>
    </row>
    <row r="9" spans="2:9" ht="12.75" hidden="1" customHeight="1" outlineLevel="1">
      <c r="B9" s="330"/>
      <c r="C9" s="232" t="s">
        <v>48</v>
      </c>
      <c r="D9" s="233" t="s">
        <v>30</v>
      </c>
      <c r="E9" s="237">
        <f>+Substrat!T97</f>
        <v>8.8698630136986338</v>
      </c>
      <c r="F9" s="233">
        <f>+Substrat!T97</f>
        <v>8.8698630136986338</v>
      </c>
      <c r="G9" s="233">
        <f>+Substrat!AQ97</f>
        <v>18.912328767123292</v>
      </c>
      <c r="H9" s="14" t="s">
        <v>48</v>
      </c>
    </row>
    <row r="10" spans="2:9" ht="12.75" hidden="1" customHeight="1" outlineLevel="1">
      <c r="B10" s="330"/>
      <c r="C10" s="232" t="s">
        <v>43</v>
      </c>
      <c r="D10" s="233" t="s">
        <v>30</v>
      </c>
      <c r="E10" s="236">
        <f>+Substrat!T98</f>
        <v>8.3209589041095917</v>
      </c>
      <c r="F10" s="233">
        <f>+Substrat!T98</f>
        <v>8.3209589041095917</v>
      </c>
      <c r="G10" s="233">
        <f>+Substrat!AQ98</f>
        <v>17.581095890410964</v>
      </c>
      <c r="H10" s="14" t="s">
        <v>43</v>
      </c>
    </row>
    <row r="11" spans="2:9" ht="12.75" hidden="1" customHeight="1" outlineLevel="1">
      <c r="B11" s="330"/>
      <c r="C11" s="232" t="s">
        <v>77</v>
      </c>
      <c r="D11" s="233" t="s">
        <v>45</v>
      </c>
      <c r="E11" s="233">
        <f>+Substrat!T99</f>
        <v>191.25517680790063</v>
      </c>
      <c r="F11" s="233">
        <f>+Substrat!T99</f>
        <v>191.25517680790063</v>
      </c>
      <c r="G11" s="233">
        <f>+Substrat!AQ99</f>
        <v>324.17123287671245</v>
      </c>
      <c r="H11" s="14" t="s">
        <v>49</v>
      </c>
    </row>
    <row r="12" spans="2:9" ht="12.75" hidden="1" customHeight="1" outlineLevel="1">
      <c r="B12" s="330"/>
      <c r="C12" s="232" t="s">
        <v>153</v>
      </c>
      <c r="D12" s="233" t="s">
        <v>45</v>
      </c>
      <c r="E12" s="233">
        <f>+Substrat!T100</f>
        <v>44.19225868110864</v>
      </c>
      <c r="F12" s="233">
        <f>+Substrat!T100</f>
        <v>44.19225868110864</v>
      </c>
      <c r="G12" s="233">
        <f>+Substrat!AQ100</f>
        <v>72.731506849315096</v>
      </c>
      <c r="H12" s="14" t="s">
        <v>145</v>
      </c>
    </row>
    <row r="13" spans="2:9" ht="12.75" hidden="1" customHeight="1" outlineLevel="1">
      <c r="B13" s="330"/>
      <c r="C13" s="232" t="s">
        <v>154</v>
      </c>
      <c r="D13" s="233" t="s">
        <v>45</v>
      </c>
      <c r="E13" s="233">
        <f>+Substrat!T101</f>
        <v>144.4233832430711</v>
      </c>
      <c r="F13" s="233">
        <f>+Substrat!T101</f>
        <v>144.4233832430711</v>
      </c>
      <c r="G13" s="233">
        <f>+Substrat!AQ101</f>
        <v>303.30136986301386</v>
      </c>
      <c r="H13" s="14" t="s">
        <v>146</v>
      </c>
    </row>
    <row r="14" spans="2:9" ht="12.75" hidden="1" customHeight="1" outlineLevel="1">
      <c r="B14" s="330"/>
      <c r="C14" s="232" t="s">
        <v>155</v>
      </c>
      <c r="D14" s="233" t="s">
        <v>45</v>
      </c>
      <c r="E14" s="233">
        <f>+Substrat!T102</f>
        <v>24.794520547945204</v>
      </c>
      <c r="F14" s="233">
        <f>+Substrat!T102</f>
        <v>24.794520547945204</v>
      </c>
      <c r="G14" s="233">
        <f>+Substrat!AQ102</f>
        <v>51.184931506849317</v>
      </c>
      <c r="H14" s="14" t="s">
        <v>147</v>
      </c>
    </row>
    <row r="15" spans="2:9" ht="12.75" hidden="1" customHeight="1" outlineLevel="1">
      <c r="B15" s="330"/>
      <c r="C15" s="232" t="s">
        <v>152</v>
      </c>
      <c r="D15" s="233" t="s">
        <v>34</v>
      </c>
      <c r="E15" s="233">
        <f>+Substrat!T103</f>
        <v>2793.306849315069</v>
      </c>
      <c r="F15" s="233">
        <f>+Substrat!T103</f>
        <v>2793.306849315069</v>
      </c>
      <c r="G15" s="233">
        <f>+Substrat!AQ103</f>
        <v>5846.2712328767129</v>
      </c>
      <c r="H15" s="14" t="s">
        <v>44</v>
      </c>
    </row>
    <row r="16" spans="2:9" ht="12.75" hidden="1" customHeight="1" outlineLevel="1">
      <c r="B16" s="330"/>
      <c r="C16" s="232" t="s">
        <v>38</v>
      </c>
      <c r="D16" s="233" t="s">
        <v>34</v>
      </c>
      <c r="E16" s="233">
        <f>+Substrat!T104</f>
        <v>5329.5943097997897</v>
      </c>
      <c r="F16" s="233">
        <f>+Substrat!T104</f>
        <v>5329.5943097997897</v>
      </c>
      <c r="G16" s="233">
        <f>+Substrat!AQ104</f>
        <v>11151.811440046127</v>
      </c>
      <c r="H16" s="14" t="s">
        <v>38</v>
      </c>
    </row>
    <row r="17" spans="1:10" ht="12.75" hidden="1" customHeight="1" outlineLevel="1">
      <c r="B17" s="330"/>
      <c r="C17" s="234" t="s">
        <v>183</v>
      </c>
      <c r="D17" s="233" t="s">
        <v>34</v>
      </c>
      <c r="E17" s="233">
        <f>+Substrat!T105</f>
        <v>0</v>
      </c>
      <c r="F17" s="233">
        <f>+Substrat!T105</f>
        <v>0</v>
      </c>
      <c r="G17" s="233">
        <f>+Substrat!AQ105</f>
        <v>0</v>
      </c>
      <c r="H17" s="120" t="s">
        <v>183</v>
      </c>
    </row>
    <row r="18" spans="1:10" ht="12.75" hidden="1" customHeight="1" outlineLevel="1">
      <c r="B18" s="330"/>
      <c r="C18" s="232" t="s">
        <v>49</v>
      </c>
      <c r="D18" s="233" t="s">
        <v>45</v>
      </c>
      <c r="E18" s="233">
        <f>+Substrat!T106</f>
        <v>113.99490283529789</v>
      </c>
      <c r="F18" s="233">
        <f>+Substrat!T106</f>
        <v>113.99490283529789</v>
      </c>
      <c r="G18" s="233">
        <f>+Substrat!AQ106</f>
        <v>277.8150684931507</v>
      </c>
      <c r="H18" s="14" t="s">
        <v>49</v>
      </c>
    </row>
    <row r="19" spans="1:10" ht="12.75" hidden="1" customHeight="1" outlineLevel="1">
      <c r="B19" s="330"/>
      <c r="C19" s="232" t="s">
        <v>145</v>
      </c>
      <c r="D19" s="233" t="s">
        <v>45</v>
      </c>
      <c r="E19" s="233">
        <f>+Substrat!T107</f>
        <v>21.055272379738778</v>
      </c>
      <c r="F19" s="233">
        <f>+Substrat!T107</f>
        <v>21.055272379738778</v>
      </c>
      <c r="G19" s="233">
        <f>+Substrat!AQ107</f>
        <v>58.849315068493155</v>
      </c>
      <c r="H19" s="14" t="s">
        <v>145</v>
      </c>
    </row>
    <row r="20" spans="1:10" ht="12.75" hidden="1" customHeight="1" outlineLevel="1">
      <c r="B20" s="330"/>
      <c r="C20" s="232" t="s">
        <v>146</v>
      </c>
      <c r="D20" s="233" t="s">
        <v>45</v>
      </c>
      <c r="E20" s="233">
        <f>+Substrat!T108</f>
        <v>101.27269831156424</v>
      </c>
      <c r="F20" s="233">
        <f>+Substrat!T108</f>
        <v>101.27269831156424</v>
      </c>
      <c r="G20" s="233">
        <f>+Substrat!AQ108</f>
        <v>277.41095890410958</v>
      </c>
      <c r="H20" s="14" t="s">
        <v>146</v>
      </c>
    </row>
    <row r="21" spans="1:10" ht="12.75" hidden="1" customHeight="1" outlineLevel="1">
      <c r="B21" s="330"/>
      <c r="C21" s="232" t="s">
        <v>147</v>
      </c>
      <c r="D21" s="233" t="s">
        <v>45</v>
      </c>
      <c r="E21" s="233">
        <f>+Substrat!T109</f>
        <v>18.63013698630137</v>
      </c>
      <c r="F21" s="233">
        <f>+Substrat!T109</f>
        <v>18.63013698630137</v>
      </c>
      <c r="G21" s="233">
        <f>+Substrat!AQ109</f>
        <v>47.486301369863014</v>
      </c>
      <c r="H21" s="14" t="s">
        <v>147</v>
      </c>
    </row>
    <row r="22" spans="1:10" ht="12.75" hidden="1" customHeight="1" outlineLevel="1">
      <c r="B22" s="330"/>
      <c r="C22" s="232" t="s">
        <v>44</v>
      </c>
      <c r="D22" s="233" t="s">
        <v>34</v>
      </c>
      <c r="E22" s="233">
        <f>+Substrat!T110</f>
        <v>2628.9232876712335</v>
      </c>
      <c r="F22" s="233">
        <f>+Substrat!T110</f>
        <v>2628.9232876712335</v>
      </c>
      <c r="G22" s="233">
        <f>+Substrat!AQ110</f>
        <v>5747.6410958904107</v>
      </c>
      <c r="H22" s="14" t="s">
        <v>44</v>
      </c>
    </row>
    <row r="23" spans="1:10" ht="12.75" hidden="1" customHeight="1" outlineLevel="1">
      <c r="B23" s="330"/>
      <c r="C23" s="232" t="s">
        <v>38</v>
      </c>
      <c r="D23" s="233" t="s">
        <v>34</v>
      </c>
      <c r="E23" s="233">
        <f>+Substrat!T111</f>
        <v>5055.6217070600642</v>
      </c>
      <c r="F23" s="233">
        <f>+Substrat!T111</f>
        <v>5055.6217070600642</v>
      </c>
      <c r="G23" s="233">
        <f>+Substrat!AQ111</f>
        <v>10987.42787840229</v>
      </c>
      <c r="H23" s="14" t="s">
        <v>38</v>
      </c>
    </row>
    <row r="24" spans="1:10" ht="12.75" hidden="1" customHeight="1" outlineLevel="1">
      <c r="B24" s="330"/>
      <c r="C24" s="232"/>
      <c r="D24" s="233"/>
      <c r="E24" s="233"/>
      <c r="F24" s="233"/>
      <c r="G24" s="233"/>
      <c r="H24" s="233"/>
    </row>
    <row r="25" spans="1:10" s="1" customFormat="1" ht="6.75" customHeight="1" collapsed="1">
      <c r="A25" s="248"/>
      <c r="B25" s="435"/>
      <c r="C25" s="431"/>
      <c r="D25" s="431"/>
      <c r="E25" s="431"/>
      <c r="F25" s="431"/>
      <c r="G25" s="431"/>
      <c r="H25" s="432"/>
      <c r="I25" s="248"/>
      <c r="J25" s="248"/>
    </row>
    <row r="26" spans="1:10" s="1" customFormat="1" ht="16.5" customHeight="1">
      <c r="A26" s="248"/>
      <c r="B26" s="436"/>
      <c r="C26" s="440" t="s">
        <v>429</v>
      </c>
      <c r="D26" s="240"/>
      <c r="E26" s="240"/>
      <c r="F26" s="240"/>
      <c r="G26" s="248"/>
      <c r="H26" s="414" t="s">
        <v>324</v>
      </c>
      <c r="I26" s="248"/>
      <c r="J26" s="248"/>
    </row>
    <row r="27" spans="1:10" s="1" customFormat="1" ht="4.5" customHeight="1" thickBot="1">
      <c r="A27" s="248"/>
      <c r="B27" s="436"/>
      <c r="C27" s="248"/>
      <c r="D27" s="248"/>
      <c r="E27" s="248"/>
      <c r="F27" s="248"/>
      <c r="G27" s="248"/>
      <c r="H27" s="433"/>
      <c r="I27" s="248"/>
      <c r="J27" s="248"/>
    </row>
    <row r="28" spans="1:10" s="1" customFormat="1" ht="15.75" customHeight="1" thickBot="1">
      <c r="A28" s="248"/>
      <c r="B28" s="436"/>
      <c r="C28" s="585" t="str">
        <f>Start!D28</f>
        <v>BGA Musterdorf</v>
      </c>
      <c r="D28" s="587"/>
      <c r="E28" s="248" t="str">
        <f>+Substrat!P4</f>
        <v>Versionsdatum  1.11.2018</v>
      </c>
      <c r="F28" s="248"/>
      <c r="G28" s="248"/>
      <c r="H28" s="571" t="s">
        <v>327</v>
      </c>
      <c r="I28" s="248"/>
      <c r="J28" s="248"/>
    </row>
    <row r="29" spans="1:10" s="1" customFormat="1" ht="3.75" customHeight="1">
      <c r="A29" s="248"/>
      <c r="B29" s="436"/>
      <c r="C29" s="248"/>
      <c r="D29" s="248"/>
      <c r="E29" s="248"/>
      <c r="F29" s="248"/>
      <c r="G29" s="248"/>
      <c r="H29" s="433"/>
      <c r="I29" s="248"/>
      <c r="J29" s="248"/>
    </row>
    <row r="30" spans="1:10" s="1" customFormat="1" ht="15" customHeight="1">
      <c r="A30" s="248"/>
      <c r="B30" s="436"/>
      <c r="C30" s="486" t="s">
        <v>387</v>
      </c>
      <c r="D30" s="248"/>
      <c r="E30" s="248"/>
      <c r="F30" s="248"/>
      <c r="G30" s="248"/>
      <c r="H30" s="572" t="s">
        <v>89</v>
      </c>
      <c r="I30" s="248"/>
      <c r="J30" s="248"/>
    </row>
    <row r="31" spans="1:10" s="1" customFormat="1" ht="4.5" customHeight="1">
      <c r="A31" s="248"/>
      <c r="B31" s="436"/>
      <c r="C31" s="248"/>
      <c r="D31" s="248"/>
      <c r="E31" s="248"/>
      <c r="F31" s="248"/>
      <c r="G31" s="248"/>
      <c r="H31" s="433"/>
      <c r="I31" s="248"/>
      <c r="J31" s="248"/>
    </row>
    <row r="32" spans="1:10" s="1" customFormat="1" ht="15.75" customHeight="1">
      <c r="A32" s="248"/>
      <c r="B32" s="436"/>
      <c r="C32" s="249" t="str">
        <f>IF(Substrat!T90&lt;0.0001,C1," ")</f>
        <v xml:space="preserve"> </v>
      </c>
      <c r="D32" s="248"/>
      <c r="E32" s="248"/>
      <c r="F32" s="248"/>
      <c r="G32" s="248"/>
      <c r="H32" s="572" t="s">
        <v>0</v>
      </c>
      <c r="I32" s="248"/>
      <c r="J32" s="248"/>
    </row>
    <row r="33" spans="1:10" s="1" customFormat="1" ht="6" customHeight="1">
      <c r="A33" s="248"/>
      <c r="B33" s="436"/>
      <c r="C33" s="249"/>
      <c r="D33" s="249"/>
      <c r="E33" s="248"/>
      <c r="F33" s="248"/>
      <c r="G33" s="248"/>
      <c r="H33" s="248"/>
      <c r="I33" s="248"/>
      <c r="J33" s="248"/>
    </row>
    <row r="34" spans="1:10" ht="12.75" customHeight="1">
      <c r="A34" s="248"/>
      <c r="B34" s="331"/>
      <c r="C34" s="103" t="s">
        <v>67</v>
      </c>
      <c r="D34" s="540" t="s">
        <v>35</v>
      </c>
      <c r="E34" s="100" t="s">
        <v>419</v>
      </c>
      <c r="F34" s="623" t="s">
        <v>78</v>
      </c>
      <c r="G34" s="624"/>
      <c r="H34" s="100" t="s">
        <v>82</v>
      </c>
      <c r="I34" s="248"/>
      <c r="J34" s="248"/>
    </row>
    <row r="35" spans="1:10" ht="12.75" customHeight="1">
      <c r="A35" s="248"/>
      <c r="B35" s="332"/>
      <c r="C35" s="72"/>
      <c r="D35" s="376"/>
      <c r="E35" s="552" t="s">
        <v>79</v>
      </c>
      <c r="F35" s="388">
        <v>1</v>
      </c>
      <c r="G35" s="361">
        <v>2</v>
      </c>
      <c r="H35" s="32"/>
      <c r="I35" s="248"/>
      <c r="J35" s="248"/>
    </row>
    <row r="36" spans="1:10" ht="12.75" customHeight="1">
      <c r="A36" s="248"/>
      <c r="B36" s="411">
        <v>1</v>
      </c>
      <c r="C36" s="238" t="s">
        <v>339</v>
      </c>
      <c r="D36" s="238"/>
      <c r="E36" s="389"/>
      <c r="F36" s="538"/>
      <c r="G36" s="539"/>
      <c r="H36" s="391"/>
      <c r="I36" s="248"/>
      <c r="J36" s="248"/>
    </row>
    <row r="37" spans="1:10" ht="12.75" customHeight="1" thickBot="1">
      <c r="A37" s="248"/>
      <c r="B37" s="412" t="s">
        <v>333</v>
      </c>
      <c r="C37" s="390" t="s">
        <v>340</v>
      </c>
      <c r="D37" s="238"/>
      <c r="E37" s="141"/>
      <c r="F37" s="444"/>
      <c r="G37" s="449"/>
      <c r="H37" s="392"/>
      <c r="I37" s="248"/>
      <c r="J37" s="248"/>
    </row>
    <row r="38" spans="1:10" ht="12.75" customHeight="1">
      <c r="A38" s="248"/>
      <c r="B38" s="340"/>
      <c r="C38" s="341" t="s">
        <v>363</v>
      </c>
      <c r="D38" s="377" t="s">
        <v>156</v>
      </c>
      <c r="E38" s="441">
        <v>0.7</v>
      </c>
      <c r="F38" s="445">
        <v>0.7</v>
      </c>
      <c r="G38" s="445">
        <v>0.9</v>
      </c>
      <c r="H38" s="448"/>
      <c r="I38" s="248"/>
      <c r="J38" s="248"/>
    </row>
    <row r="39" spans="1:10" ht="12.75" customHeight="1">
      <c r="A39" s="248"/>
      <c r="B39" s="342"/>
      <c r="C39" s="343" t="s">
        <v>364</v>
      </c>
      <c r="D39" s="378" t="s">
        <v>156</v>
      </c>
      <c r="E39" s="442">
        <v>1.4</v>
      </c>
      <c r="F39" s="446">
        <v>1.4</v>
      </c>
      <c r="G39" s="446">
        <v>1.7</v>
      </c>
      <c r="H39" s="448"/>
      <c r="I39" s="248"/>
      <c r="J39" s="248"/>
    </row>
    <row r="40" spans="1:10" ht="12.75" customHeight="1">
      <c r="A40" s="248"/>
      <c r="B40" s="342"/>
      <c r="C40" s="343" t="s">
        <v>365</v>
      </c>
      <c r="D40" s="378" t="s">
        <v>156</v>
      </c>
      <c r="E40" s="442">
        <v>0.6</v>
      </c>
      <c r="F40" s="446">
        <v>0.6</v>
      </c>
      <c r="G40" s="446">
        <v>0.7</v>
      </c>
      <c r="H40" s="448"/>
      <c r="I40" s="248"/>
      <c r="J40" s="248"/>
    </row>
    <row r="41" spans="1:10" ht="12.75" customHeight="1" thickBot="1">
      <c r="A41" s="248"/>
      <c r="B41" s="344"/>
      <c r="C41" s="345" t="s">
        <v>366</v>
      </c>
      <c r="D41" s="379" t="s">
        <v>156</v>
      </c>
      <c r="E41" s="443">
        <v>0.6</v>
      </c>
      <c r="F41" s="447">
        <v>0.6</v>
      </c>
      <c r="G41" s="447">
        <v>0.6</v>
      </c>
      <c r="H41" s="448"/>
      <c r="I41" s="248"/>
      <c r="J41" s="248"/>
    </row>
    <row r="42" spans="1:10" ht="12.75" customHeight="1" thickBot="1">
      <c r="A42" s="248"/>
      <c r="B42" s="412" t="s">
        <v>350</v>
      </c>
      <c r="C42" s="625" t="s">
        <v>341</v>
      </c>
      <c r="D42" s="625"/>
      <c r="E42" s="625"/>
      <c r="F42" s="625"/>
      <c r="G42" s="626"/>
      <c r="H42" s="392"/>
      <c r="I42" s="248"/>
      <c r="J42" s="248"/>
    </row>
    <row r="43" spans="1:10" ht="12.75" customHeight="1">
      <c r="A43" s="248"/>
      <c r="B43" s="346"/>
      <c r="C43" s="347" t="s">
        <v>355</v>
      </c>
      <c r="D43" s="377" t="s">
        <v>157</v>
      </c>
      <c r="E43" s="451">
        <f>4598*E80^-0.5038</f>
        <v>81.432033272380494</v>
      </c>
      <c r="F43" s="454">
        <v>75</v>
      </c>
      <c r="G43" s="454">
        <v>50</v>
      </c>
      <c r="H43" s="544"/>
      <c r="I43" s="248"/>
      <c r="J43" s="248"/>
    </row>
    <row r="44" spans="1:10" ht="12.75" customHeight="1">
      <c r="A44" s="248"/>
      <c r="B44" s="348"/>
      <c r="C44" s="349" t="s">
        <v>329</v>
      </c>
      <c r="D44" s="378" t="s">
        <v>331</v>
      </c>
      <c r="E44" s="452">
        <v>20</v>
      </c>
      <c r="F44" s="455">
        <v>20</v>
      </c>
      <c r="G44" s="455">
        <v>20</v>
      </c>
      <c r="H44" s="448"/>
      <c r="I44" s="248"/>
      <c r="J44" s="248"/>
    </row>
    <row r="45" spans="1:10" ht="12.75" customHeight="1">
      <c r="A45" s="248"/>
      <c r="B45" s="348"/>
      <c r="C45" s="349" t="s">
        <v>330</v>
      </c>
      <c r="D45" s="378" t="s">
        <v>23</v>
      </c>
      <c r="E45" s="530">
        <v>0.05</v>
      </c>
      <c r="F45" s="531">
        <v>0.05</v>
      </c>
      <c r="G45" s="531">
        <v>0.05</v>
      </c>
      <c r="H45" s="448"/>
      <c r="I45" s="248"/>
      <c r="J45" s="248"/>
    </row>
    <row r="46" spans="1:10" ht="12.75" customHeight="1">
      <c r="A46" s="248"/>
      <c r="B46" s="348"/>
      <c r="C46" s="349" t="s">
        <v>351</v>
      </c>
      <c r="D46" s="378" t="s">
        <v>175</v>
      </c>
      <c r="E46" s="532">
        <v>6</v>
      </c>
      <c r="F46" s="533">
        <v>6</v>
      </c>
      <c r="G46" s="534">
        <v>6</v>
      </c>
      <c r="H46" s="448"/>
      <c r="I46" s="248"/>
      <c r="J46" s="248"/>
    </row>
    <row r="47" spans="1:10" ht="12.75" customHeight="1">
      <c r="A47" s="248"/>
      <c r="B47" s="348"/>
      <c r="C47" s="349" t="s">
        <v>177</v>
      </c>
      <c r="D47" s="378" t="s">
        <v>37</v>
      </c>
      <c r="E47" s="453">
        <v>0</v>
      </c>
      <c r="F47" s="455">
        <v>0</v>
      </c>
      <c r="G47" s="488">
        <v>0</v>
      </c>
      <c r="H47" s="448"/>
      <c r="I47" s="248"/>
      <c r="J47" s="248"/>
    </row>
    <row r="48" spans="1:10" ht="12.75" customHeight="1" thickBot="1">
      <c r="A48" s="248"/>
      <c r="B48" s="356"/>
      <c r="C48" s="350" t="s">
        <v>190</v>
      </c>
      <c r="D48" s="382" t="s">
        <v>157</v>
      </c>
      <c r="E48" s="487">
        <v>3</v>
      </c>
      <c r="F48" s="457">
        <v>3.5</v>
      </c>
      <c r="G48" s="457">
        <v>3.5</v>
      </c>
      <c r="H48" s="448"/>
      <c r="I48" s="248"/>
      <c r="J48" s="248"/>
    </row>
    <row r="49" spans="1:10" ht="12.75" customHeight="1">
      <c r="A49" s="248"/>
      <c r="B49" s="356"/>
      <c r="C49" s="350" t="s">
        <v>332</v>
      </c>
      <c r="D49" s="382" t="s">
        <v>157</v>
      </c>
      <c r="E49" s="487">
        <f>+((1+E45)^(E44)*E45/((1+E45)^(E44)-1))*E43*E46/12</f>
        <v>3.2671585149871341</v>
      </c>
      <c r="F49" s="456">
        <f>+((1+F45)^(F44)*F45/((1+F45)^(F44)-1))*F43*F46/12</f>
        <v>3.0090970196509246</v>
      </c>
      <c r="G49" s="456">
        <f>+((1+G45)^(G44)*G45/((1+G45)^(G44)-1))*G43*G46/12</f>
        <v>2.0060646797672828</v>
      </c>
      <c r="H49" s="448"/>
      <c r="I49" s="248"/>
      <c r="J49" s="248"/>
    </row>
    <row r="50" spans="1:10" ht="12.75" customHeight="1">
      <c r="A50" s="248"/>
      <c r="B50" s="411" t="s">
        <v>334</v>
      </c>
      <c r="C50" s="627" t="s">
        <v>343</v>
      </c>
      <c r="D50" s="627"/>
      <c r="E50" s="627"/>
      <c r="F50" s="627"/>
      <c r="G50" s="628"/>
      <c r="H50" s="392"/>
      <c r="I50" s="248"/>
      <c r="J50" s="248"/>
    </row>
    <row r="51" spans="1:10" ht="12.75" customHeight="1">
      <c r="A51" s="248"/>
      <c r="B51" s="346"/>
      <c r="C51" s="353" t="s">
        <v>36</v>
      </c>
      <c r="D51" s="380" t="s">
        <v>159</v>
      </c>
      <c r="E51" s="362">
        <f>+E2*365</f>
        <v>13750.000019999999</v>
      </c>
      <c r="F51" s="362">
        <f>+F2*365</f>
        <v>13750.000019999999</v>
      </c>
      <c r="G51" s="362">
        <f>+G2*365</f>
        <v>25350.000020000003</v>
      </c>
      <c r="H51" s="393"/>
      <c r="I51" s="248"/>
      <c r="J51" s="248"/>
    </row>
    <row r="52" spans="1:10" ht="12.75" customHeight="1">
      <c r="A52" s="248"/>
      <c r="B52" s="348"/>
      <c r="C52" s="349" t="s">
        <v>163</v>
      </c>
      <c r="D52" s="378" t="s">
        <v>23</v>
      </c>
      <c r="E52" s="363">
        <f>+E9/E2</f>
        <v>0.2354545451120662</v>
      </c>
      <c r="F52" s="363">
        <f>+F9/F2</f>
        <v>0.2354545451120662</v>
      </c>
      <c r="G52" s="363">
        <f>+G9/G2</f>
        <v>0.27230769209285394</v>
      </c>
      <c r="H52" s="393"/>
      <c r="I52" s="248"/>
      <c r="J52" s="248"/>
    </row>
    <row r="53" spans="1:10" ht="12.75" hidden="1" customHeight="1" outlineLevel="1">
      <c r="A53" s="248"/>
      <c r="B53" s="348"/>
      <c r="C53" s="354" t="s">
        <v>39</v>
      </c>
      <c r="D53" s="381" t="s">
        <v>23</v>
      </c>
      <c r="E53" s="364">
        <f>+E15/E16</f>
        <v>0.52411247215925549</v>
      </c>
      <c r="F53" s="364">
        <f>+F15/F16</f>
        <v>0.52411247215925549</v>
      </c>
      <c r="G53" s="364">
        <f>+G15/G16</f>
        <v>0.52424408933985089</v>
      </c>
      <c r="H53" s="393"/>
      <c r="I53" s="248"/>
      <c r="J53" s="248"/>
    </row>
    <row r="54" spans="1:10" ht="12.75" hidden="1" customHeight="1" outlineLevel="1">
      <c r="A54" s="248"/>
      <c r="B54" s="348"/>
      <c r="C54" s="354" t="s">
        <v>56</v>
      </c>
      <c r="D54" s="381" t="s">
        <v>46</v>
      </c>
      <c r="E54" s="365">
        <f>+(E53*16+(1-E53)*44)/22.4</f>
        <v>1.309145124086645</v>
      </c>
      <c r="F54" s="365">
        <f>+(F53*16+(1-F53)*44)/22.4</f>
        <v>1.309145124086645</v>
      </c>
      <c r="G54" s="365">
        <f>+(G53*16+(1-G53)*44)/22.4</f>
        <v>1.3089806026109008</v>
      </c>
      <c r="H54" s="393"/>
      <c r="I54" s="248"/>
      <c r="J54" s="248"/>
    </row>
    <row r="55" spans="1:10" ht="12.75" hidden="1" customHeight="1" outlineLevel="1">
      <c r="A55" s="248"/>
      <c r="B55" s="348"/>
      <c r="C55" s="354" t="s">
        <v>57</v>
      </c>
      <c r="D55" s="381" t="s">
        <v>30</v>
      </c>
      <c r="E55" s="365">
        <f>E54*E16/1000</f>
        <v>6.9772124040343222</v>
      </c>
      <c r="F55" s="365">
        <f>F54*F16/1000</f>
        <v>6.9772124040343222</v>
      </c>
      <c r="G55" s="365">
        <f>G54*G16/1000</f>
        <v>14.597504858994716</v>
      </c>
      <c r="H55" s="393"/>
      <c r="I55" s="248"/>
      <c r="J55" s="248"/>
    </row>
    <row r="56" spans="1:10" ht="12.75" hidden="1" customHeight="1" outlineLevel="1">
      <c r="A56" s="248"/>
      <c r="B56" s="348"/>
      <c r="C56" s="354" t="s">
        <v>165</v>
      </c>
      <c r="D56" s="381" t="s">
        <v>23</v>
      </c>
      <c r="E56" s="364">
        <f>+(E51-E55*365)/E51</f>
        <v>0.81478672554412646</v>
      </c>
      <c r="F56" s="364">
        <f>+(F51-F55*365)/F51</f>
        <v>0.81478672554412646</v>
      </c>
      <c r="G56" s="364">
        <f>+(G51-G55*365)/G51</f>
        <v>0.78981896373453853</v>
      </c>
      <c r="H56" s="393"/>
      <c r="I56" s="248"/>
      <c r="J56" s="248"/>
    </row>
    <row r="57" spans="1:10" ht="12.75" hidden="1" customHeight="1" outlineLevel="1">
      <c r="A57" s="248"/>
      <c r="B57" s="348"/>
      <c r="C57" s="354" t="s">
        <v>161</v>
      </c>
      <c r="D57" s="381" t="s">
        <v>159</v>
      </c>
      <c r="E57" s="366">
        <f>+E51-E55*365</f>
        <v>11203.317492527472</v>
      </c>
      <c r="F57" s="366">
        <f>+F51-F55*365</f>
        <v>11203.317492527472</v>
      </c>
      <c r="G57" s="366">
        <f>+G51-G55*365</f>
        <v>20021.910746466932</v>
      </c>
      <c r="H57" s="393"/>
      <c r="I57" s="248"/>
      <c r="J57" s="248"/>
    </row>
    <row r="58" spans="1:10" ht="12.75" customHeight="1" collapsed="1">
      <c r="A58" s="248"/>
      <c r="B58" s="348"/>
      <c r="C58" s="350" t="s">
        <v>162</v>
      </c>
      <c r="D58" s="382" t="s">
        <v>159</v>
      </c>
      <c r="E58" s="367">
        <f>ROUND(E57,-1)</f>
        <v>11200</v>
      </c>
      <c r="F58" s="367">
        <f>ROUND(F57,-1)</f>
        <v>11200</v>
      </c>
      <c r="G58" s="367">
        <f>ROUND(G57,-1)</f>
        <v>20020</v>
      </c>
      <c r="H58" s="397"/>
      <c r="I58" s="248"/>
      <c r="J58" s="248"/>
    </row>
    <row r="59" spans="1:10" ht="12.75" customHeight="1">
      <c r="A59" s="248"/>
      <c r="B59" s="356"/>
      <c r="C59" s="359" t="s">
        <v>362</v>
      </c>
      <c r="D59" s="427" t="s">
        <v>361</v>
      </c>
      <c r="E59" s="428">
        <f>E57/E51</f>
        <v>0.81478672554412646</v>
      </c>
      <c r="F59" s="428">
        <f>F57/F51</f>
        <v>0.81478672554412646</v>
      </c>
      <c r="G59" s="535">
        <f>G57/G51</f>
        <v>0.78981896373453853</v>
      </c>
      <c r="H59" s="397"/>
      <c r="I59" s="248"/>
      <c r="J59" s="248"/>
    </row>
    <row r="60" spans="1:10" ht="12.75" customHeight="1">
      <c r="A60" s="248"/>
      <c r="B60" s="351"/>
      <c r="C60" s="355" t="s">
        <v>164</v>
      </c>
      <c r="D60" s="379" t="s">
        <v>23</v>
      </c>
      <c r="E60" s="368">
        <f>+(E9-E55)/(E57/365)</f>
        <v>6.1661866941487981E-2</v>
      </c>
      <c r="F60" s="368">
        <f>+(F9-F55)/(F57/365)</f>
        <v>6.1661866941487981E-2</v>
      </c>
      <c r="G60" s="368">
        <f>+(G9-G55)/(G57/365)</f>
        <v>7.8659362056383103E-2</v>
      </c>
      <c r="H60" s="393"/>
      <c r="I60" s="248"/>
      <c r="J60" s="248"/>
    </row>
    <row r="61" spans="1:10" ht="12.75" hidden="1" customHeight="1" outlineLevel="1">
      <c r="A61" s="248"/>
      <c r="B61" s="333"/>
      <c r="C61" s="104" t="s">
        <v>58</v>
      </c>
      <c r="D61" s="413" t="s">
        <v>159</v>
      </c>
      <c r="E61" s="337">
        <f>+E3*365</f>
        <v>8750.0000099999979</v>
      </c>
      <c r="F61" s="337">
        <f>+F3*365</f>
        <v>8750.0000099999979</v>
      </c>
      <c r="G61" s="337">
        <f>+G3*365</f>
        <v>22350.00001</v>
      </c>
      <c r="H61" s="393"/>
      <c r="I61" s="248"/>
      <c r="J61" s="248"/>
    </row>
    <row r="62" spans="1:10" ht="12.75" hidden="1" customHeight="1" outlineLevel="1">
      <c r="A62" s="248"/>
      <c r="B62" s="333"/>
      <c r="C62" s="104" t="s">
        <v>184</v>
      </c>
      <c r="D62" s="413" t="s">
        <v>23</v>
      </c>
      <c r="E62" s="106">
        <f>+E22/E23</f>
        <v>0.52</v>
      </c>
      <c r="F62" s="106">
        <f>+F22/F23</f>
        <v>0.52</v>
      </c>
      <c r="G62" s="106">
        <f>+G22/G23</f>
        <v>0.52311070065710319</v>
      </c>
      <c r="H62" s="393"/>
      <c r="I62" s="248"/>
      <c r="J62" s="248"/>
    </row>
    <row r="63" spans="1:10" ht="12.75" hidden="1" customHeight="1" outlineLevel="1">
      <c r="A63" s="248"/>
      <c r="B63" s="333"/>
      <c r="C63" s="104" t="s">
        <v>185</v>
      </c>
      <c r="D63" s="413" t="s">
        <v>46</v>
      </c>
      <c r="E63" s="117">
        <f>+(E62*16+(1-E62)*44)/22.4</f>
        <v>1.3142857142857143</v>
      </c>
      <c r="F63" s="117">
        <f>+(F62*16+(1-F62)*44)/22.4</f>
        <v>1.3142857142857143</v>
      </c>
      <c r="G63" s="117">
        <f>+(G62*16+(1-G62)*44)/22.4</f>
        <v>1.3103973384643353</v>
      </c>
      <c r="H63" s="393"/>
      <c r="I63" s="248"/>
      <c r="J63" s="248"/>
    </row>
    <row r="64" spans="1:10" ht="12.75" hidden="1" customHeight="1" outlineLevel="1">
      <c r="A64" s="248"/>
      <c r="B64" s="333"/>
      <c r="C64" s="104" t="s">
        <v>186</v>
      </c>
      <c r="D64" s="413" t="s">
        <v>30</v>
      </c>
      <c r="E64" s="117">
        <f>E63*E23/1000</f>
        <v>6.6445313864217983</v>
      </c>
      <c r="F64" s="117">
        <f>F63*F23/1000</f>
        <v>6.6445313864217983</v>
      </c>
      <c r="G64" s="117">
        <f>G63*G23/1000</f>
        <v>14.397896248427198</v>
      </c>
      <c r="H64" s="393"/>
      <c r="I64" s="248"/>
      <c r="J64" s="248"/>
    </row>
    <row r="65" spans="1:10" ht="12.75" hidden="1" customHeight="1" outlineLevel="1">
      <c r="A65" s="248"/>
      <c r="B65" s="333"/>
      <c r="C65" s="104" t="s">
        <v>349</v>
      </c>
      <c r="D65" s="413" t="s">
        <v>23</v>
      </c>
      <c r="E65" s="338">
        <f>+(E61-E64*365)/E61</f>
        <v>0.72282811962602989</v>
      </c>
      <c r="F65" s="106">
        <f>+(F61-F64*365)/F61</f>
        <v>0.72282811962602989</v>
      </c>
      <c r="G65" s="106">
        <f>+(G61-G64*365)/G61</f>
        <v>0.76486657143961545</v>
      </c>
      <c r="H65" s="393"/>
      <c r="I65" s="248"/>
      <c r="J65" s="248"/>
    </row>
    <row r="66" spans="1:10" ht="12.75" hidden="1" customHeight="1" outlineLevel="1">
      <c r="A66" s="248"/>
      <c r="B66" s="333"/>
      <c r="C66" s="104" t="s">
        <v>187</v>
      </c>
      <c r="D66" s="413" t="s">
        <v>159</v>
      </c>
      <c r="E66" s="116">
        <f>+E61-E64*365</f>
        <v>6324.7460539560416</v>
      </c>
      <c r="F66" s="116">
        <f>+F61-F64*365</f>
        <v>6324.7460539560416</v>
      </c>
      <c r="G66" s="116">
        <f>+G61-G64*365</f>
        <v>17094.76787932407</v>
      </c>
      <c r="H66" s="393"/>
      <c r="I66" s="248"/>
      <c r="J66" s="248"/>
    </row>
    <row r="67" spans="1:10" ht="12.75" hidden="1" customHeight="1" outlineLevel="1" collapsed="1">
      <c r="A67" s="248"/>
      <c r="B67" s="333"/>
      <c r="C67" s="104" t="s">
        <v>338</v>
      </c>
      <c r="D67" s="104"/>
      <c r="E67" s="95"/>
      <c r="F67" s="13"/>
      <c r="G67" s="13"/>
      <c r="H67" s="393"/>
      <c r="I67" s="248"/>
      <c r="J67" s="248"/>
    </row>
    <row r="68" spans="1:10" ht="12.75" hidden="1" customHeight="1" outlineLevel="1">
      <c r="A68" s="248"/>
      <c r="B68" s="333"/>
      <c r="C68" s="104" t="s">
        <v>158</v>
      </c>
      <c r="D68" s="104" t="s">
        <v>23</v>
      </c>
      <c r="E68" s="95">
        <f>1-E69</f>
        <v>0.5645422490413754</v>
      </c>
      <c r="F68" s="95">
        <f>1-F69</f>
        <v>0.4354577509586246</v>
      </c>
      <c r="G68" s="95">
        <f>1-G69</f>
        <v>0.14619697910996765</v>
      </c>
      <c r="H68" s="393"/>
      <c r="I68" s="248"/>
      <c r="J68" s="248"/>
    </row>
    <row r="69" spans="1:10" ht="12.75" hidden="1" customHeight="1" outlineLevel="1">
      <c r="A69" s="248"/>
      <c r="B69" s="333"/>
      <c r="C69" s="104" t="s">
        <v>189</v>
      </c>
      <c r="D69" s="104" t="s">
        <v>23</v>
      </c>
      <c r="E69" s="95">
        <f>1-E66/E57</f>
        <v>0.4354577509586246</v>
      </c>
      <c r="F69" s="95">
        <f>+F66/F57</f>
        <v>0.5645422490413754</v>
      </c>
      <c r="G69" s="95">
        <f>+G66/G57</f>
        <v>0.85380302089003235</v>
      </c>
      <c r="H69" s="393"/>
      <c r="I69" s="248"/>
      <c r="J69" s="248"/>
    </row>
    <row r="70" spans="1:10" ht="12.75" hidden="1" customHeight="1" outlineLevel="1">
      <c r="A70" s="248"/>
      <c r="B70" s="333"/>
      <c r="C70" s="104" t="s">
        <v>171</v>
      </c>
      <c r="D70" s="104"/>
      <c r="E70" s="95"/>
      <c r="F70" s="13"/>
      <c r="G70" s="13"/>
      <c r="H70" s="393"/>
      <c r="I70" s="248"/>
      <c r="J70" s="248"/>
    </row>
    <row r="71" spans="1:10" ht="12.75" hidden="1" customHeight="1" outlineLevel="1">
      <c r="A71" s="248"/>
      <c r="B71" s="333"/>
      <c r="C71" s="104" t="s">
        <v>169</v>
      </c>
      <c r="D71" s="104" t="s">
        <v>144</v>
      </c>
      <c r="E71" s="94">
        <f>+E11/1000*365</f>
        <v>69.808139534883736</v>
      </c>
      <c r="F71" s="94">
        <f>+F11/1000*365</f>
        <v>69.808139534883736</v>
      </c>
      <c r="G71" s="94">
        <f>+G11/1000*365</f>
        <v>118.32250000000005</v>
      </c>
      <c r="H71" s="393"/>
      <c r="I71" s="248"/>
      <c r="J71" s="248"/>
    </row>
    <row r="72" spans="1:10" ht="12.75" hidden="1" customHeight="1" outlineLevel="1">
      <c r="A72" s="248"/>
      <c r="B72" s="333"/>
      <c r="C72" s="104" t="s">
        <v>170</v>
      </c>
      <c r="D72" s="104" t="s">
        <v>144</v>
      </c>
      <c r="E72" s="94">
        <f>+E71*E83</f>
        <v>59.336918604651174</v>
      </c>
      <c r="F72" s="94">
        <f>+F71*0.6</f>
        <v>41.88488372093024</v>
      </c>
      <c r="G72" s="94">
        <f>+G71*0.6</f>
        <v>70.993500000000026</v>
      </c>
      <c r="H72" s="394" t="s">
        <v>318</v>
      </c>
      <c r="I72" s="248"/>
      <c r="J72" s="248"/>
    </row>
    <row r="73" spans="1:10" ht="12.75" hidden="1" customHeight="1" outlineLevel="1">
      <c r="A73" s="248"/>
      <c r="B73" s="333"/>
      <c r="C73" s="104" t="s">
        <v>166</v>
      </c>
      <c r="D73" s="104" t="s">
        <v>144</v>
      </c>
      <c r="E73" s="94">
        <f t="shared" ref="E73:G75" si="0">+E12/1000*365</f>
        <v>16.130174418604653</v>
      </c>
      <c r="F73" s="94">
        <f t="shared" si="0"/>
        <v>16.130174418604653</v>
      </c>
      <c r="G73" s="94">
        <f t="shared" si="0"/>
        <v>26.547000000000008</v>
      </c>
      <c r="H73" s="393"/>
      <c r="I73" s="248"/>
      <c r="J73" s="248"/>
    </row>
    <row r="74" spans="1:10" ht="12.75" hidden="1" customHeight="1" outlineLevel="1">
      <c r="A74" s="248"/>
      <c r="B74" s="333"/>
      <c r="C74" s="104" t="s">
        <v>167</v>
      </c>
      <c r="D74" s="104" t="s">
        <v>144</v>
      </c>
      <c r="E74" s="94">
        <f t="shared" si="0"/>
        <v>52.714534883720951</v>
      </c>
      <c r="F74" s="94">
        <f t="shared" si="0"/>
        <v>52.714534883720951</v>
      </c>
      <c r="G74" s="94">
        <f t="shared" si="0"/>
        <v>110.70500000000007</v>
      </c>
      <c r="H74" s="393"/>
      <c r="I74" s="248"/>
      <c r="J74" s="248"/>
    </row>
    <row r="75" spans="1:10" ht="12.75" hidden="1" customHeight="1" outlineLevel="1">
      <c r="A75" s="248"/>
      <c r="B75" s="333"/>
      <c r="C75" s="104" t="s">
        <v>168</v>
      </c>
      <c r="D75" s="104" t="s">
        <v>144</v>
      </c>
      <c r="E75" s="94">
        <f t="shared" si="0"/>
        <v>9.0499999999999989</v>
      </c>
      <c r="F75" s="94">
        <f t="shared" si="0"/>
        <v>9.0499999999999989</v>
      </c>
      <c r="G75" s="94">
        <f t="shared" si="0"/>
        <v>18.682500000000001</v>
      </c>
      <c r="H75" s="393"/>
      <c r="I75" s="248"/>
      <c r="J75" s="248"/>
    </row>
    <row r="76" spans="1:10" ht="12.75" customHeight="1" collapsed="1">
      <c r="A76" s="248"/>
      <c r="B76" s="411" t="s">
        <v>335</v>
      </c>
      <c r="C76" s="627" t="s">
        <v>176</v>
      </c>
      <c r="D76" s="627"/>
      <c r="E76" s="627"/>
      <c r="F76" s="627"/>
      <c r="G76" s="628"/>
      <c r="H76" s="395"/>
      <c r="I76" s="248"/>
      <c r="J76" s="248"/>
    </row>
    <row r="77" spans="1:10" ht="12.75" hidden="1" customHeight="1" outlineLevel="1">
      <c r="A77" s="248"/>
      <c r="B77" s="335"/>
      <c r="C77" s="104" t="s">
        <v>176</v>
      </c>
      <c r="D77" s="413" t="s">
        <v>37</v>
      </c>
      <c r="E77" s="336">
        <f>+E57/12*E46</f>
        <v>5601.6587462637362</v>
      </c>
      <c r="F77" s="336">
        <f>+F57/12*F46</f>
        <v>5601.6587462637362</v>
      </c>
      <c r="G77" s="336">
        <f>+G57/12*G46</f>
        <v>10010.955373233466</v>
      </c>
      <c r="H77" s="396"/>
      <c r="I77" s="248"/>
      <c r="J77" s="248"/>
    </row>
    <row r="78" spans="1:10" ht="12.75" customHeight="1" collapsed="1">
      <c r="A78" s="248"/>
      <c r="B78" s="346"/>
      <c r="C78" s="358" t="s">
        <v>400</v>
      </c>
      <c r="D78" s="384" t="s">
        <v>37</v>
      </c>
      <c r="E78" s="370">
        <f>+ROUNDUP(E77,-2)</f>
        <v>5700</v>
      </c>
      <c r="F78" s="370">
        <f>+ROUNDUP(F77,-2)</f>
        <v>5700</v>
      </c>
      <c r="G78" s="370">
        <f>+ROUNDUP(G77,-2)</f>
        <v>10100</v>
      </c>
      <c r="H78" s="397"/>
      <c r="I78" s="248"/>
      <c r="J78" s="248"/>
    </row>
    <row r="79" spans="1:10" ht="12.75" customHeight="1" thickBot="1">
      <c r="A79" s="248"/>
      <c r="B79" s="348"/>
      <c r="C79" s="541" t="s">
        <v>360</v>
      </c>
      <c r="D79" s="385" t="s">
        <v>37</v>
      </c>
      <c r="E79" s="371">
        <f>IF(E78-E47&gt;0,E78-E47,"-")</f>
        <v>5700</v>
      </c>
      <c r="F79" s="543">
        <f>IF(F78-F47&gt;0,F78-F47,"-")</f>
        <v>5700</v>
      </c>
      <c r="G79" s="543">
        <f>IF(G78-G47&gt;0,G78-G47,"-")</f>
        <v>10100</v>
      </c>
      <c r="H79" s="396"/>
      <c r="I79" s="248"/>
      <c r="J79" s="248"/>
    </row>
    <row r="80" spans="1:10" ht="12.75" customHeight="1" thickBot="1">
      <c r="A80" s="248"/>
      <c r="B80" s="348"/>
      <c r="C80" s="541" t="s">
        <v>399</v>
      </c>
      <c r="D80" s="385" t="s">
        <v>37</v>
      </c>
      <c r="E80" s="553">
        <v>3000</v>
      </c>
      <c r="F80" s="553">
        <v>3000</v>
      </c>
      <c r="G80" s="553">
        <v>5000</v>
      </c>
      <c r="H80" s="542"/>
      <c r="I80" s="248"/>
      <c r="J80" s="248"/>
    </row>
    <row r="81" spans="1:10" ht="12.75" customHeight="1">
      <c r="A81" s="248"/>
      <c r="B81" s="411" t="s">
        <v>336</v>
      </c>
      <c r="C81" s="631" t="s">
        <v>344</v>
      </c>
      <c r="D81" s="631"/>
      <c r="E81" s="631"/>
      <c r="F81" s="631"/>
      <c r="G81" s="632"/>
      <c r="H81" s="392"/>
      <c r="I81" s="248"/>
      <c r="J81" s="248"/>
    </row>
    <row r="82" spans="1:10" ht="12.75" customHeight="1">
      <c r="A82" s="248"/>
      <c r="B82" s="346"/>
      <c r="C82" s="347" t="s">
        <v>359</v>
      </c>
      <c r="D82" s="377" t="s">
        <v>46</v>
      </c>
      <c r="E82" s="426">
        <f>+E71/$E$57*1000</f>
        <v>6.2310239428138345</v>
      </c>
      <c r="F82" s="426">
        <f>+F71/$F$57*1000</f>
        <v>6.2310239428138345</v>
      </c>
      <c r="G82" s="426">
        <f>+G71/$G$57*1000</f>
        <v>5.9096507570277348</v>
      </c>
      <c r="H82" s="393"/>
      <c r="I82" s="248"/>
      <c r="J82" s="248"/>
    </row>
    <row r="83" spans="1:10" ht="41.25" customHeight="1">
      <c r="A83" s="248"/>
      <c r="B83" s="557"/>
      <c r="C83" s="558" t="s">
        <v>421</v>
      </c>
      <c r="D83" s="559" t="s">
        <v>23</v>
      </c>
      <c r="E83" s="560">
        <v>0.85</v>
      </c>
      <c r="F83" s="560">
        <v>0.85</v>
      </c>
      <c r="G83" s="560">
        <v>0.89500000000000002</v>
      </c>
      <c r="H83" s="393"/>
      <c r="I83" s="248"/>
      <c r="J83" s="248"/>
    </row>
    <row r="84" spans="1:10" ht="12.75" customHeight="1">
      <c r="A84" s="248"/>
      <c r="B84" s="348"/>
      <c r="C84" s="349" t="s">
        <v>409</v>
      </c>
      <c r="D84" s="378" t="s">
        <v>46</v>
      </c>
      <c r="E84" s="365">
        <f>+E72/$E$57*1000</f>
        <v>5.2963703513917597</v>
      </c>
      <c r="F84" s="365">
        <f>+F72/$F$57*1000</f>
        <v>3.7386143656883006</v>
      </c>
      <c r="G84" s="365">
        <f>+G72/$G$57*1000</f>
        <v>3.545790454216641</v>
      </c>
      <c r="H84" s="394"/>
      <c r="I84" s="248"/>
      <c r="J84" s="248"/>
    </row>
    <row r="85" spans="1:10" ht="12.75" customHeight="1">
      <c r="A85" s="248"/>
      <c r="B85" s="348"/>
      <c r="C85" s="349" t="s">
        <v>166</v>
      </c>
      <c r="D85" s="378" t="s">
        <v>46</v>
      </c>
      <c r="E85" s="365">
        <f>+E73/$E$57*1000</f>
        <v>1.4397676785794349</v>
      </c>
      <c r="F85" s="365">
        <f>+F73/$F$57*1000</f>
        <v>1.4397676785794349</v>
      </c>
      <c r="G85" s="365">
        <f>+G73/$G$57*1000</f>
        <v>1.325897429878639</v>
      </c>
      <c r="H85" s="393"/>
      <c r="I85" s="248"/>
      <c r="J85" s="248"/>
    </row>
    <row r="86" spans="1:10" ht="12.75" customHeight="1">
      <c r="A86" s="248"/>
      <c r="B86" s="348"/>
      <c r="C86" s="349" t="s">
        <v>167</v>
      </c>
      <c r="D86" s="378" t="s">
        <v>46</v>
      </c>
      <c r="E86" s="365">
        <f>+E74/$E$57*1000</f>
        <v>4.7052611799032871</v>
      </c>
      <c r="F86" s="365">
        <f>+F74/$F$57*1000</f>
        <v>4.7052611799032871</v>
      </c>
      <c r="G86" s="365">
        <f>+G74/$G$57*1000</f>
        <v>5.5291925631790697</v>
      </c>
      <c r="H86" s="393"/>
      <c r="I86" s="248"/>
      <c r="J86" s="248"/>
    </row>
    <row r="87" spans="1:10" ht="12.75" customHeight="1">
      <c r="A87" s="248"/>
      <c r="B87" s="348"/>
      <c r="C87" s="349" t="s">
        <v>168</v>
      </c>
      <c r="D87" s="378" t="s">
        <v>46</v>
      </c>
      <c r="E87" s="365">
        <f>+E75/$E$57*1000</f>
        <v>0.80779644119130611</v>
      </c>
      <c r="F87" s="365">
        <f>+F75/$F$57*1000</f>
        <v>0.80779644119130611</v>
      </c>
      <c r="G87" s="365">
        <f>+G75/$G$57*1000</f>
        <v>0.93310275110964203</v>
      </c>
      <c r="H87" s="393"/>
      <c r="I87" s="248"/>
      <c r="J87" s="248"/>
    </row>
    <row r="88" spans="1:10" ht="12.75" customHeight="1">
      <c r="A88" s="248"/>
      <c r="B88" s="348"/>
      <c r="C88" s="349" t="s">
        <v>173</v>
      </c>
      <c r="D88" s="378" t="s">
        <v>172</v>
      </c>
      <c r="E88" s="365">
        <f>+E60*100/1000*142</f>
        <v>0.8755985105691293</v>
      </c>
      <c r="F88" s="365">
        <f>+F60*100/1000*142</f>
        <v>0.8755985105691293</v>
      </c>
      <c r="G88" s="365">
        <f>+G60*100/1000*142</f>
        <v>1.1169629412006401</v>
      </c>
      <c r="H88" s="394"/>
      <c r="I88" s="248"/>
      <c r="J88" s="248"/>
    </row>
    <row r="89" spans="1:10" ht="12.75" customHeight="1">
      <c r="A89" s="248"/>
      <c r="B89" s="356"/>
      <c r="C89" s="357" t="s">
        <v>174</v>
      </c>
      <c r="D89" s="383" t="s">
        <v>144</v>
      </c>
      <c r="E89" s="369">
        <f>+E57*E60/1000*142</f>
        <v>98.09608109890128</v>
      </c>
      <c r="F89" s="369">
        <f>+F57*F60/1000*142</f>
        <v>98.09608109890128</v>
      </c>
      <c r="G89" s="369">
        <f>+G57*G60/1000*142</f>
        <v>223.6373231583041</v>
      </c>
      <c r="H89" s="393"/>
      <c r="I89" s="248"/>
      <c r="J89" s="248"/>
    </row>
    <row r="90" spans="1:10" ht="12.75" customHeight="1" thickBot="1">
      <c r="A90" s="248"/>
      <c r="B90" s="411" t="s">
        <v>337</v>
      </c>
      <c r="C90" s="633" t="s">
        <v>402</v>
      </c>
      <c r="D90" s="633"/>
      <c r="E90" s="633"/>
      <c r="F90" s="633"/>
      <c r="G90" s="634"/>
      <c r="H90" s="393"/>
      <c r="I90" s="248"/>
      <c r="J90" s="248"/>
    </row>
    <row r="91" spans="1:10" ht="12.75" customHeight="1" thickBot="1">
      <c r="A91" s="248"/>
      <c r="B91" s="346"/>
      <c r="C91" s="347" t="s">
        <v>403</v>
      </c>
      <c r="D91" s="377" t="s">
        <v>404</v>
      </c>
      <c r="E91" s="556">
        <v>20</v>
      </c>
      <c r="F91" s="553">
        <v>25</v>
      </c>
      <c r="G91" s="553">
        <v>15</v>
      </c>
      <c r="H91" s="393"/>
      <c r="I91" s="248"/>
      <c r="J91" s="248"/>
    </row>
    <row r="92" spans="1:10" ht="12.75" customHeight="1">
      <c r="A92" s="248"/>
      <c r="B92" s="348"/>
      <c r="C92" s="349" t="s">
        <v>405</v>
      </c>
      <c r="D92" s="378" t="s">
        <v>406</v>
      </c>
      <c r="E92" s="554">
        <f>+E58/E91</f>
        <v>560</v>
      </c>
      <c r="F92" s="556">
        <f>+F58/F91</f>
        <v>448</v>
      </c>
      <c r="G92" s="556">
        <f>+G58/G91</f>
        <v>1334.6666666666667</v>
      </c>
      <c r="H92" s="393"/>
      <c r="I92" s="248"/>
      <c r="J92" s="248"/>
    </row>
    <row r="93" spans="1:10" ht="12.75" customHeight="1">
      <c r="A93" s="248"/>
      <c r="B93" s="348"/>
      <c r="C93" s="349" t="s">
        <v>407</v>
      </c>
      <c r="D93" s="378"/>
      <c r="E93" s="365"/>
      <c r="F93" s="365"/>
      <c r="G93" s="365"/>
      <c r="H93" s="393"/>
      <c r="I93" s="248"/>
      <c r="J93" s="248"/>
    </row>
    <row r="94" spans="1:10" ht="12.75" customHeight="1">
      <c r="A94" s="248"/>
      <c r="B94" s="348"/>
      <c r="C94" s="349" t="s">
        <v>409</v>
      </c>
      <c r="D94" s="378" t="s">
        <v>408</v>
      </c>
      <c r="E94" s="554">
        <f>+E84*E$91</f>
        <v>105.92740702783519</v>
      </c>
      <c r="F94" s="554">
        <f>+F84*F$91</f>
        <v>93.465359142207518</v>
      </c>
      <c r="G94" s="554">
        <f>+G84*G$91</f>
        <v>53.186856813249612</v>
      </c>
      <c r="H94" s="393"/>
      <c r="I94" s="248"/>
      <c r="J94" s="248"/>
    </row>
    <row r="95" spans="1:10" ht="12.75" customHeight="1">
      <c r="A95" s="248"/>
      <c r="B95" s="348"/>
      <c r="C95" s="349" t="s">
        <v>166</v>
      </c>
      <c r="D95" s="378" t="s">
        <v>408</v>
      </c>
      <c r="E95" s="554">
        <f t="shared" ref="E95:G97" si="1">+E85*E$91</f>
        <v>28.795353571588699</v>
      </c>
      <c r="F95" s="554">
        <f t="shared" si="1"/>
        <v>35.994191964485871</v>
      </c>
      <c r="G95" s="554">
        <f t="shared" si="1"/>
        <v>19.888461448179584</v>
      </c>
      <c r="H95" s="393"/>
      <c r="I95" s="248"/>
      <c r="J95" s="248"/>
    </row>
    <row r="96" spans="1:10" ht="12.75" customHeight="1">
      <c r="A96" s="248"/>
      <c r="B96" s="348"/>
      <c r="C96" s="349" t="s">
        <v>167</v>
      </c>
      <c r="D96" s="378" t="s">
        <v>408</v>
      </c>
      <c r="E96" s="554">
        <f t="shared" si="1"/>
        <v>94.105223598065749</v>
      </c>
      <c r="F96" s="554">
        <f t="shared" si="1"/>
        <v>117.63152949758218</v>
      </c>
      <c r="G96" s="554">
        <f t="shared" si="1"/>
        <v>82.937888447686049</v>
      </c>
      <c r="H96" s="393"/>
      <c r="I96" s="248"/>
      <c r="J96" s="248"/>
    </row>
    <row r="97" spans="1:10" ht="12.75" customHeight="1">
      <c r="A97" s="248"/>
      <c r="B97" s="356"/>
      <c r="C97" s="357" t="s">
        <v>168</v>
      </c>
      <c r="D97" s="383" t="s">
        <v>408</v>
      </c>
      <c r="E97" s="555">
        <f t="shared" si="1"/>
        <v>16.155928823826123</v>
      </c>
      <c r="F97" s="554">
        <f t="shared" si="1"/>
        <v>20.194911029782652</v>
      </c>
      <c r="G97" s="554">
        <f t="shared" si="1"/>
        <v>13.99654126664463</v>
      </c>
      <c r="H97" s="393"/>
      <c r="I97" s="248"/>
      <c r="J97" s="248"/>
    </row>
    <row r="98" spans="1:10" ht="12.75" customHeight="1">
      <c r="A98" s="248"/>
      <c r="B98" s="411" t="s">
        <v>410</v>
      </c>
      <c r="C98" s="627" t="s">
        <v>342</v>
      </c>
      <c r="D98" s="627"/>
      <c r="E98" s="627"/>
      <c r="F98" s="627"/>
      <c r="G98" s="628"/>
      <c r="H98" s="395"/>
      <c r="I98" s="248"/>
      <c r="J98" s="248"/>
    </row>
    <row r="99" spans="1:10" ht="12.75" customHeight="1">
      <c r="A99" s="248"/>
      <c r="B99" s="412" t="s">
        <v>411</v>
      </c>
      <c r="C99" s="629" t="s">
        <v>346</v>
      </c>
      <c r="D99" s="629"/>
      <c r="E99" s="629"/>
      <c r="F99" s="629"/>
      <c r="G99" s="630"/>
      <c r="H99" s="395"/>
      <c r="I99" s="248"/>
      <c r="J99" s="248"/>
    </row>
    <row r="100" spans="1:10" ht="12.75" customHeight="1">
      <c r="A100" s="248"/>
      <c r="B100" s="346"/>
      <c r="C100" s="353" t="s">
        <v>182</v>
      </c>
      <c r="D100" s="422" t="s">
        <v>157</v>
      </c>
      <c r="E100" s="372">
        <f>SUMPRODUCT(E84:E87,E38:E41)</f>
        <v>9.0309685686421961</v>
      </c>
      <c r="F100" s="372">
        <f>SUMPRODUCT(F84:F87,F38:F41)</f>
        <v>7.9405393786497749</v>
      </c>
      <c r="G100" s="372">
        <f>SUMPRODUCT(G84:G87,G38:G41)</f>
        <v>9.8755334844797975</v>
      </c>
      <c r="H100" s="397"/>
      <c r="I100" s="248"/>
      <c r="J100" s="248"/>
    </row>
    <row r="101" spans="1:10" ht="12.75" customHeight="1">
      <c r="A101" s="248"/>
      <c r="B101" s="348"/>
      <c r="C101" s="360" t="s">
        <v>191</v>
      </c>
      <c r="D101" s="423" t="s">
        <v>157</v>
      </c>
      <c r="E101" s="373">
        <f>+E49</f>
        <v>3.2671585149871341</v>
      </c>
      <c r="F101" s="373">
        <f>+F49</f>
        <v>3.0090970196509246</v>
      </c>
      <c r="G101" s="373">
        <f>+G49</f>
        <v>2.0060646797672828</v>
      </c>
      <c r="H101" s="397"/>
      <c r="I101" s="248"/>
      <c r="J101" s="248"/>
    </row>
    <row r="102" spans="1:10" ht="12.75" customHeight="1">
      <c r="A102" s="248"/>
      <c r="B102" s="348"/>
      <c r="C102" s="360" t="s">
        <v>190</v>
      </c>
      <c r="D102" s="423" t="s">
        <v>157</v>
      </c>
      <c r="E102" s="373">
        <f>+E48</f>
        <v>3</v>
      </c>
      <c r="F102" s="373">
        <f>+F48</f>
        <v>3.5</v>
      </c>
      <c r="G102" s="373">
        <f>+G48</f>
        <v>3.5</v>
      </c>
      <c r="H102" s="397"/>
      <c r="I102" s="248"/>
      <c r="J102" s="248"/>
    </row>
    <row r="103" spans="1:10" ht="12.75" customHeight="1">
      <c r="A103" s="248"/>
      <c r="B103" s="356"/>
      <c r="C103" s="350" t="s">
        <v>414</v>
      </c>
      <c r="D103" s="424" t="s">
        <v>157</v>
      </c>
      <c r="E103" s="425">
        <f>+E100-(E101+E102)</f>
        <v>2.763810053655062</v>
      </c>
      <c r="F103" s="425">
        <f>+F100-(F101+F102)</f>
        <v>1.4314423589988499</v>
      </c>
      <c r="G103" s="425">
        <f>+G100-(G101+G102)</f>
        <v>4.3694688047125148</v>
      </c>
      <c r="H103" s="397"/>
      <c r="I103" s="248"/>
      <c r="J103" s="248"/>
    </row>
    <row r="104" spans="1:10" ht="12.75" customHeight="1">
      <c r="A104" s="248"/>
      <c r="B104" s="348"/>
      <c r="C104" s="360"/>
      <c r="D104" s="423" t="s">
        <v>59</v>
      </c>
      <c r="E104" s="373">
        <f>+E103*E58/1000</f>
        <v>30.954672600936693</v>
      </c>
      <c r="F104" s="373">
        <f>+F103*F58/1000</f>
        <v>16.032154420787119</v>
      </c>
      <c r="G104" s="373">
        <f>+G103*G58/1000</f>
        <v>87.476765470344546</v>
      </c>
      <c r="H104" s="397"/>
      <c r="I104" s="248"/>
      <c r="J104" s="248"/>
    </row>
    <row r="105" spans="1:10" ht="12.75" customHeight="1">
      <c r="A105" s="248"/>
      <c r="B105" s="348"/>
      <c r="C105" s="360" t="s">
        <v>191</v>
      </c>
      <c r="D105" s="386" t="s">
        <v>157</v>
      </c>
      <c r="E105" s="373">
        <f>+E49</f>
        <v>3.2671585149871341</v>
      </c>
      <c r="F105" s="373">
        <f>+F49</f>
        <v>3.0090970196509246</v>
      </c>
      <c r="G105" s="373">
        <f>+G49</f>
        <v>2.0060646797672828</v>
      </c>
      <c r="H105" s="397"/>
      <c r="I105" s="248"/>
      <c r="J105" s="248"/>
    </row>
    <row r="106" spans="1:10" ht="12.75" customHeight="1">
      <c r="A106" s="248"/>
      <c r="B106" s="348"/>
      <c r="C106" s="360" t="s">
        <v>345</v>
      </c>
      <c r="D106" s="386" t="s">
        <v>157</v>
      </c>
      <c r="E106" s="373">
        <f>E48</f>
        <v>3</v>
      </c>
      <c r="F106" s="373">
        <f>F48</f>
        <v>3.5</v>
      </c>
      <c r="G106" s="373">
        <f>G48</f>
        <v>3.5</v>
      </c>
      <c r="H106" s="397"/>
      <c r="I106" s="248"/>
      <c r="J106" s="248"/>
    </row>
    <row r="107" spans="1:10" ht="12.75" customHeight="1">
      <c r="A107" s="248"/>
      <c r="B107" s="412" t="s">
        <v>412</v>
      </c>
      <c r="C107" s="629" t="s">
        <v>415</v>
      </c>
      <c r="D107" s="629"/>
      <c r="E107" s="629"/>
      <c r="F107" s="629"/>
      <c r="G107" s="630"/>
      <c r="H107" s="395"/>
      <c r="I107" s="248"/>
      <c r="J107" s="248"/>
    </row>
    <row r="108" spans="1:10" ht="12.75" customHeight="1">
      <c r="A108" s="248"/>
      <c r="B108" s="346"/>
      <c r="C108" s="347" t="s">
        <v>359</v>
      </c>
      <c r="D108" s="377" t="s">
        <v>144</v>
      </c>
      <c r="E108" s="373">
        <f>(E11-E18)/1000*365</f>
        <v>28.2</v>
      </c>
      <c r="F108" s="374">
        <f>(F11-F18)/1000*365</f>
        <v>28.2</v>
      </c>
      <c r="G108" s="374">
        <f>(G11-G18)/1000*365</f>
        <v>16.920000000000037</v>
      </c>
      <c r="H108" s="396"/>
      <c r="I108" s="248"/>
      <c r="J108" s="248"/>
    </row>
    <row r="109" spans="1:10" ht="12.75" customHeight="1">
      <c r="A109" s="248"/>
      <c r="B109" s="348"/>
      <c r="C109" s="349" t="s">
        <v>170</v>
      </c>
      <c r="D109" s="378" t="s">
        <v>144</v>
      </c>
      <c r="E109" s="373">
        <f>+E108*0.6</f>
        <v>16.919999999999998</v>
      </c>
      <c r="F109" s="373">
        <f>+F108*0.6</f>
        <v>16.919999999999998</v>
      </c>
      <c r="G109" s="373">
        <f>+G108*0.6</f>
        <v>10.152000000000022</v>
      </c>
      <c r="H109" s="394"/>
      <c r="I109" s="248"/>
      <c r="J109" s="248"/>
    </row>
    <row r="110" spans="1:10" ht="12.75" customHeight="1">
      <c r="A110" s="248"/>
      <c r="B110" s="348"/>
      <c r="C110" s="349" t="s">
        <v>166</v>
      </c>
      <c r="D110" s="378" t="s">
        <v>144</v>
      </c>
      <c r="E110" s="373">
        <f>+(E12-E19)/1000*365</f>
        <v>8.4450000000000003</v>
      </c>
      <c r="F110" s="373">
        <f>+(F12-F19)/1000*365</f>
        <v>8.4450000000000003</v>
      </c>
      <c r="G110" s="373">
        <f>+(G12-G19)/1000*365</f>
        <v>5.0670000000000082</v>
      </c>
      <c r="H110" s="394"/>
      <c r="I110" s="248"/>
      <c r="J110" s="248"/>
    </row>
    <row r="111" spans="1:10" ht="12.75" customHeight="1">
      <c r="A111" s="248"/>
      <c r="B111" s="348"/>
      <c r="C111" s="349" t="s">
        <v>167</v>
      </c>
      <c r="D111" s="378" t="s">
        <v>144</v>
      </c>
      <c r="E111" s="373">
        <f t="shared" ref="E111:G112" si="2">+(E13-E20)/1000*365</f>
        <v>15.750000000000004</v>
      </c>
      <c r="F111" s="373">
        <f t="shared" si="2"/>
        <v>15.750000000000004</v>
      </c>
      <c r="G111" s="373">
        <f t="shared" si="2"/>
        <v>9.4500000000000632</v>
      </c>
      <c r="H111" s="394"/>
      <c r="I111" s="248"/>
      <c r="J111" s="248"/>
    </row>
    <row r="112" spans="1:10" ht="12.75" customHeight="1">
      <c r="A112" s="248"/>
      <c r="B112" s="348"/>
      <c r="C112" s="349" t="s">
        <v>168</v>
      </c>
      <c r="D112" s="378" t="s">
        <v>144</v>
      </c>
      <c r="E112" s="373">
        <f t="shared" si="2"/>
        <v>2.2499999999999996</v>
      </c>
      <c r="F112" s="373">
        <f t="shared" si="2"/>
        <v>2.2499999999999996</v>
      </c>
      <c r="G112" s="373">
        <f t="shared" si="2"/>
        <v>1.3500000000000005</v>
      </c>
      <c r="H112" s="397"/>
      <c r="I112" s="248"/>
      <c r="J112" s="248"/>
    </row>
    <row r="113" spans="1:10" ht="12.75" customHeight="1">
      <c r="A113" s="248"/>
      <c r="B113" s="348"/>
      <c r="C113" s="360" t="s">
        <v>347</v>
      </c>
      <c r="D113" s="386" t="s">
        <v>59</v>
      </c>
      <c r="E113" s="437">
        <f>SUMPRODUCT(E109:E112,E38:E41)</f>
        <v>34.466999999999999</v>
      </c>
      <c r="F113" s="437">
        <f>SUMPRODUCT(F109:F112,F38:F41)</f>
        <v>34.466999999999999</v>
      </c>
      <c r="G113" s="437">
        <f>SUMPRODUCT(G109:G112,G38:G41)</f>
        <v>25.175700000000077</v>
      </c>
      <c r="H113" s="394"/>
      <c r="I113" s="248"/>
      <c r="J113" s="248"/>
    </row>
    <row r="114" spans="1:10" ht="12.75" customHeight="1">
      <c r="A114" s="248"/>
      <c r="B114" s="348"/>
      <c r="C114" s="360"/>
      <c r="D114" s="386" t="s">
        <v>157</v>
      </c>
      <c r="E114" s="373">
        <f>+E113/(E57-E66)*1000</f>
        <v>7.0649780235856925</v>
      </c>
      <c r="F114" s="373">
        <f>+F113/(F57-F66)*1000</f>
        <v>7.0649780235856925</v>
      </c>
      <c r="G114" s="373">
        <f>+G113/(G57-G66)*1000</f>
        <v>8.6007759589041459</v>
      </c>
      <c r="H114" s="394"/>
      <c r="I114" s="248"/>
      <c r="J114" s="248"/>
    </row>
    <row r="115" spans="1:10" ht="12.75" customHeight="1">
      <c r="A115" s="248"/>
      <c r="B115" s="348"/>
      <c r="C115" s="360" t="s">
        <v>348</v>
      </c>
      <c r="D115" s="386" t="s">
        <v>157</v>
      </c>
      <c r="E115" s="373">
        <f>+E114-(E105+E106)</f>
        <v>0.79781950859855844</v>
      </c>
      <c r="F115" s="373">
        <f>+F114-(F105+F106)</f>
        <v>0.55588100393476747</v>
      </c>
      <c r="G115" s="373">
        <f>+G114-(G105+G106)</f>
        <v>3.0947112791368632</v>
      </c>
      <c r="H115" s="394"/>
      <c r="I115" s="248"/>
      <c r="J115" s="248"/>
    </row>
    <row r="116" spans="1:10" ht="12.75" customHeight="1">
      <c r="A116" s="248"/>
      <c r="B116" s="351"/>
      <c r="C116" s="352" t="s">
        <v>416</v>
      </c>
      <c r="D116" s="387" t="s">
        <v>59</v>
      </c>
      <c r="E116" s="375">
        <f>+E115*(E57-E66)/1000</f>
        <v>3.8922194677840212</v>
      </c>
      <c r="F116" s="375">
        <f>+F115*(F57-F66)/1000</f>
        <v>2.7119051890405701</v>
      </c>
      <c r="G116" s="375">
        <f>+G115*(G57-G66)/1000</f>
        <v>9.0586620465920316</v>
      </c>
      <c r="H116" s="394"/>
      <c r="I116" s="248"/>
      <c r="J116" s="248"/>
    </row>
    <row r="117" spans="1:10" ht="12.75" customHeight="1">
      <c r="A117" s="248"/>
      <c r="B117" s="412" t="s">
        <v>413</v>
      </c>
      <c r="C117" s="629" t="s">
        <v>352</v>
      </c>
      <c r="D117" s="629"/>
      <c r="E117" s="629"/>
      <c r="F117" s="629"/>
      <c r="G117" s="630"/>
      <c r="H117" s="395"/>
      <c r="I117" s="248"/>
      <c r="J117" s="248"/>
    </row>
    <row r="118" spans="1:10" ht="12.75" customHeight="1">
      <c r="A118" s="248"/>
      <c r="B118" s="346"/>
      <c r="C118" s="347" t="s">
        <v>359</v>
      </c>
      <c r="D118" s="377" t="s">
        <v>144</v>
      </c>
      <c r="E118" s="374">
        <f>+E18/1000*365</f>
        <v>41.608139534883733</v>
      </c>
      <c r="F118" s="374">
        <f>+F18/1000*365</f>
        <v>41.608139534883733</v>
      </c>
      <c r="G118" s="374">
        <f>+G18/1000*365</f>
        <v>101.4025</v>
      </c>
      <c r="H118" s="396"/>
      <c r="I118" s="248"/>
      <c r="J118" s="248"/>
    </row>
    <row r="119" spans="1:10" ht="12.75" customHeight="1">
      <c r="A119" s="248"/>
      <c r="B119" s="348"/>
      <c r="C119" s="349" t="s">
        <v>170</v>
      </c>
      <c r="D119" s="378" t="s">
        <v>144</v>
      </c>
      <c r="E119" s="373">
        <f>+E118*0.6</f>
        <v>24.964883720930239</v>
      </c>
      <c r="F119" s="373">
        <f>+F118*0.6</f>
        <v>24.964883720930239</v>
      </c>
      <c r="G119" s="373">
        <f>+G118*0.6</f>
        <v>60.841499999999996</v>
      </c>
      <c r="H119" s="394"/>
      <c r="I119" s="248"/>
      <c r="J119" s="248"/>
    </row>
    <row r="120" spans="1:10" ht="12.75" customHeight="1">
      <c r="A120" s="248"/>
      <c r="B120" s="348"/>
      <c r="C120" s="349" t="s">
        <v>166</v>
      </c>
      <c r="D120" s="378" t="s">
        <v>144</v>
      </c>
      <c r="E120" s="373">
        <f>+E19/1000*365</f>
        <v>7.685174418604654</v>
      </c>
      <c r="F120" s="373">
        <f>+F19/1000*365</f>
        <v>7.685174418604654</v>
      </c>
      <c r="G120" s="373">
        <f>+G19/1000*365</f>
        <v>21.48</v>
      </c>
      <c r="H120" s="397"/>
      <c r="I120" s="248"/>
      <c r="J120" s="248"/>
    </row>
    <row r="121" spans="1:10" ht="12.75" customHeight="1">
      <c r="A121" s="248"/>
      <c r="B121" s="348"/>
      <c r="C121" s="349" t="s">
        <v>167</v>
      </c>
      <c r="D121" s="378" t="s">
        <v>144</v>
      </c>
      <c r="E121" s="373">
        <f t="shared" ref="E121:G122" si="3">+E20/1000*365</f>
        <v>36.964534883720951</v>
      </c>
      <c r="F121" s="373">
        <f t="shared" si="3"/>
        <v>36.964534883720951</v>
      </c>
      <c r="G121" s="373">
        <f t="shared" si="3"/>
        <v>101.25499999999998</v>
      </c>
      <c r="H121" s="397"/>
      <c r="I121" s="248"/>
      <c r="J121" s="248"/>
    </row>
    <row r="122" spans="1:10" ht="12.75" customHeight="1">
      <c r="A122" s="248"/>
      <c r="B122" s="348"/>
      <c r="C122" s="349" t="s">
        <v>168</v>
      </c>
      <c r="D122" s="378" t="s">
        <v>144</v>
      </c>
      <c r="E122" s="373">
        <f t="shared" si="3"/>
        <v>6.8</v>
      </c>
      <c r="F122" s="373">
        <f t="shared" si="3"/>
        <v>6.8</v>
      </c>
      <c r="G122" s="373">
        <f t="shared" si="3"/>
        <v>17.3325</v>
      </c>
      <c r="H122" s="397"/>
      <c r="I122" s="248"/>
      <c r="J122" s="248"/>
    </row>
    <row r="123" spans="1:10" ht="12.75" customHeight="1">
      <c r="A123" s="248"/>
      <c r="B123" s="348"/>
      <c r="C123" s="360" t="s">
        <v>188</v>
      </c>
      <c r="D123" s="386" t="s">
        <v>59</v>
      </c>
      <c r="E123" s="437">
        <f>SUMPRODUCT(E119:E122,E38:E41)</f>
        <v>54.493383720930247</v>
      </c>
      <c r="F123" s="437">
        <f>SUMPRODUCT(F119:F122,F38:F41)</f>
        <v>54.493383720930247</v>
      </c>
      <c r="G123" s="437">
        <f>SUMPRODUCT(G119:G122,G38:G41)</f>
        <v>172.55134999999996</v>
      </c>
      <c r="H123" s="394"/>
      <c r="I123" s="248"/>
      <c r="J123" s="248"/>
    </row>
    <row r="124" spans="1:10" ht="12.75" customHeight="1">
      <c r="A124" s="248"/>
      <c r="B124" s="348"/>
      <c r="C124" s="360"/>
      <c r="D124" s="386" t="s">
        <v>157</v>
      </c>
      <c r="E124" s="373">
        <f>E123/E66*1000</f>
        <v>8.6159006632124591</v>
      </c>
      <c r="F124" s="373">
        <f>F123/F66*1000</f>
        <v>8.6159006632124591</v>
      </c>
      <c r="G124" s="373">
        <f>G123/G66*1000</f>
        <v>10.093810645343648</v>
      </c>
      <c r="H124" s="394"/>
      <c r="I124" s="248"/>
      <c r="J124" s="248"/>
    </row>
    <row r="125" spans="1:10" ht="12.75" customHeight="1">
      <c r="A125" s="248"/>
      <c r="B125" s="348"/>
      <c r="C125" s="360" t="s">
        <v>323</v>
      </c>
      <c r="D125" s="386" t="s">
        <v>157</v>
      </c>
      <c r="E125" s="373">
        <f>+E124-(E105+E106)</f>
        <v>2.348742148225325</v>
      </c>
      <c r="F125" s="373">
        <f>+F124-(F105+F106)</f>
        <v>2.106803643561534</v>
      </c>
      <c r="G125" s="373">
        <f>+G124-(G105+G106)</f>
        <v>4.5877459655763655</v>
      </c>
      <c r="H125" s="394"/>
      <c r="I125" s="248"/>
      <c r="J125" s="248"/>
    </row>
    <row r="126" spans="1:10" ht="12.75" customHeight="1">
      <c r="A126" s="248"/>
      <c r="B126" s="351"/>
      <c r="C126" s="352" t="s">
        <v>417</v>
      </c>
      <c r="D126" s="387" t="s">
        <v>59</v>
      </c>
      <c r="E126" s="375">
        <f>E125*E66/1000</f>
        <v>14.855197633748361</v>
      </c>
      <c r="F126" s="375">
        <f>F125*F66/1000</f>
        <v>13.324998031076024</v>
      </c>
      <c r="G126" s="375">
        <f>G125*G66/1000</f>
        <v>78.426452370833445</v>
      </c>
      <c r="H126" s="398" t="s">
        <v>418</v>
      </c>
      <c r="I126" s="248"/>
      <c r="J126" s="248"/>
    </row>
    <row r="127" spans="1:10" ht="28.5" customHeight="1">
      <c r="A127" s="248"/>
      <c r="B127" s="248"/>
      <c r="C127" s="248"/>
      <c r="D127" s="248"/>
      <c r="E127" s="248"/>
      <c r="F127" s="248"/>
      <c r="G127" s="248"/>
      <c r="H127" s="248"/>
      <c r="I127" s="248"/>
      <c r="J127" s="248"/>
    </row>
    <row r="128" spans="1:10">
      <c r="I128" s="3"/>
      <c r="J128" s="3"/>
    </row>
    <row r="129" spans="7:10">
      <c r="I129" s="3"/>
      <c r="J129" s="3"/>
    </row>
    <row r="136" spans="7:10">
      <c r="G136" t="s">
        <v>84</v>
      </c>
    </row>
  </sheetData>
  <sheetProtection password="DAC5" sheet="1" objects="1" scenarios="1"/>
  <dataConsolidate/>
  <mergeCells count="11">
    <mergeCell ref="C117:G117"/>
    <mergeCell ref="C76:G76"/>
    <mergeCell ref="C81:G81"/>
    <mergeCell ref="C90:G90"/>
    <mergeCell ref="C98:G98"/>
    <mergeCell ref="C107:G107"/>
    <mergeCell ref="C28:D28"/>
    <mergeCell ref="F34:G34"/>
    <mergeCell ref="C42:G42"/>
    <mergeCell ref="C50:G50"/>
    <mergeCell ref="C99:G99"/>
  </mergeCells>
  <phoneticPr fontId="0" type="noConversion"/>
  <hyperlinks>
    <hyperlink ref="H32" location="Substrat!A1" tooltip="... zum Eingabeblatt Substrate" display="Substrate"/>
    <hyperlink ref="H30" location="Hinweise!A1" tooltip="... weitere Erklärungen" display="Hinweise"/>
    <hyperlink ref="H28" location="Start!A1" tooltip="...zur Startseite" display="START-Seite"/>
  </hyperlinks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1"/>
  <sheetViews>
    <sheetView topLeftCell="A361" workbookViewId="0">
      <selection activeCell="B366" sqref="B366"/>
    </sheetView>
  </sheetViews>
  <sheetFormatPr baseColWidth="10" defaultRowHeight="12.75" outlineLevelCol="1"/>
  <cols>
    <col min="1" max="1" width="12.5703125" customWidth="1"/>
    <col min="2" max="2" width="15.28515625" customWidth="1"/>
    <col min="3" max="3" width="6.5703125" customWidth="1"/>
    <col min="4" max="5" width="8.42578125" customWidth="1"/>
    <col min="6" max="14" width="8.42578125" customWidth="1" outlineLevel="1"/>
    <col min="15" max="15" width="4" customWidth="1"/>
    <col min="16" max="16" width="5" customWidth="1"/>
    <col min="17" max="17" width="5.28515625" customWidth="1"/>
    <col min="18" max="18" width="5.5703125" customWidth="1"/>
    <col min="19" max="19" width="7.5703125" customWidth="1"/>
    <col min="20" max="41" width="8.42578125" customWidth="1"/>
  </cols>
  <sheetData>
    <row r="1" spans="1:14">
      <c r="A1" t="s">
        <v>136</v>
      </c>
    </row>
    <row r="2" spans="1:14">
      <c r="A2" t="s">
        <v>131</v>
      </c>
    </row>
    <row r="3" spans="1:14">
      <c r="A3" t="s">
        <v>132</v>
      </c>
    </row>
    <row r="4" spans="1:14">
      <c r="A4" t="s">
        <v>133</v>
      </c>
    </row>
    <row r="5" spans="1:14">
      <c r="A5" t="s">
        <v>134</v>
      </c>
    </row>
    <row r="6" spans="1:14">
      <c r="A6" t="s">
        <v>135</v>
      </c>
    </row>
    <row r="9" spans="1:14">
      <c r="A9" s="107"/>
    </row>
    <row r="10" spans="1:14">
      <c r="A10" s="108"/>
      <c r="C10" s="107" t="s">
        <v>93</v>
      </c>
    </row>
    <row r="11" spans="1:14">
      <c r="A11" s="107"/>
      <c r="C11" s="107" t="s">
        <v>122</v>
      </c>
      <c r="D11" t="s">
        <v>123</v>
      </c>
      <c r="E11" s="107" t="s">
        <v>137</v>
      </c>
      <c r="F11" t="s">
        <v>124</v>
      </c>
      <c r="G11" s="107" t="s">
        <v>3</v>
      </c>
      <c r="H11" t="s">
        <v>125</v>
      </c>
      <c r="I11" s="107" t="s">
        <v>4</v>
      </c>
      <c r="J11" t="s">
        <v>126</v>
      </c>
      <c r="K11" s="107" t="s">
        <v>127</v>
      </c>
      <c r="L11" t="s">
        <v>128</v>
      </c>
      <c r="M11" s="107" t="s">
        <v>179</v>
      </c>
    </row>
    <row r="12" spans="1:14">
      <c r="A12" s="112" t="s">
        <v>13</v>
      </c>
      <c r="B12" s="109" t="s">
        <v>94</v>
      </c>
      <c r="C12" s="109">
        <v>25</v>
      </c>
      <c r="D12" s="109">
        <v>6.1</v>
      </c>
      <c r="E12" s="109">
        <v>1.2</v>
      </c>
      <c r="F12" s="109">
        <v>5.3</v>
      </c>
      <c r="G12" s="109">
        <v>1.42</v>
      </c>
      <c r="H12" s="109">
        <v>3.26</v>
      </c>
      <c r="I12" s="109">
        <v>10.38</v>
      </c>
      <c r="J12" s="109">
        <v>12.5</v>
      </c>
      <c r="K12" s="109">
        <v>0.8</v>
      </c>
      <c r="L12" s="109">
        <v>1.33</v>
      </c>
      <c r="M12" s="119">
        <f>+E12/D12</f>
        <v>0.19672131147540983</v>
      </c>
      <c r="N12" s="112"/>
    </row>
    <row r="13" spans="1:14">
      <c r="A13" s="105"/>
      <c r="B13" s="111" t="s">
        <v>15</v>
      </c>
      <c r="C13" s="111">
        <v>25</v>
      </c>
      <c r="D13" s="111">
        <v>7.1</v>
      </c>
      <c r="E13" s="111">
        <v>1.8</v>
      </c>
      <c r="F13" s="111">
        <v>6</v>
      </c>
      <c r="G13" s="111">
        <v>2.35</v>
      </c>
      <c r="H13" s="111">
        <v>5.39</v>
      </c>
      <c r="I13" s="111">
        <v>5.39</v>
      </c>
      <c r="J13" s="111">
        <v>6.49</v>
      </c>
      <c r="K13" s="111">
        <v>1.3</v>
      </c>
      <c r="L13" s="111">
        <v>2.16</v>
      </c>
      <c r="M13" s="119">
        <f t="shared" ref="M13:M48" si="0">+E13/D13</f>
        <v>0.25352112676056338</v>
      </c>
      <c r="N13" s="112"/>
    </row>
    <row r="14" spans="1:14">
      <c r="A14" s="105"/>
      <c r="B14" s="111" t="s">
        <v>115</v>
      </c>
      <c r="C14" s="111">
        <v>25</v>
      </c>
      <c r="D14" s="111">
        <v>6.6</v>
      </c>
      <c r="E14" s="111">
        <v>1.5</v>
      </c>
      <c r="F14" s="111">
        <v>5.6</v>
      </c>
      <c r="G14" s="111">
        <v>1.88</v>
      </c>
      <c r="H14" s="111">
        <v>4.3099999999999996</v>
      </c>
      <c r="I14" s="111">
        <v>7.87</v>
      </c>
      <c r="J14" s="111">
        <v>9.48</v>
      </c>
      <c r="K14" s="111">
        <v>1.05</v>
      </c>
      <c r="L14" s="111">
        <v>1.75</v>
      </c>
      <c r="M14" s="119">
        <f t="shared" si="0"/>
        <v>0.22727272727272729</v>
      </c>
      <c r="N14" s="112"/>
    </row>
    <row r="15" spans="1:14">
      <c r="A15" s="105"/>
      <c r="B15" s="111" t="s">
        <v>95</v>
      </c>
      <c r="C15" s="111">
        <v>30</v>
      </c>
      <c r="D15" s="111">
        <v>9</v>
      </c>
      <c r="E15" s="111">
        <v>2.7</v>
      </c>
      <c r="F15" s="111">
        <v>8.1</v>
      </c>
      <c r="G15" s="111">
        <v>2.35</v>
      </c>
      <c r="H15" s="111">
        <v>5.39</v>
      </c>
      <c r="I15" s="111">
        <v>16.149999999999999</v>
      </c>
      <c r="J15" s="111">
        <v>19.46</v>
      </c>
      <c r="K15" s="111">
        <v>1.1000000000000001</v>
      </c>
      <c r="L15" s="111">
        <v>1.83</v>
      </c>
      <c r="M15" s="119">
        <f t="shared" si="0"/>
        <v>0.30000000000000004</v>
      </c>
      <c r="N15" s="112"/>
    </row>
    <row r="16" spans="1:14">
      <c r="A16" s="105"/>
      <c r="B16" s="111" t="s">
        <v>96</v>
      </c>
      <c r="C16" s="111">
        <v>30</v>
      </c>
      <c r="D16" s="111">
        <v>7.3</v>
      </c>
      <c r="E16" s="111">
        <v>2.2000000000000002</v>
      </c>
      <c r="F16" s="111">
        <v>6.7</v>
      </c>
      <c r="G16" s="111">
        <v>2.33</v>
      </c>
      <c r="H16" s="111">
        <v>5.35</v>
      </c>
      <c r="I16" s="111">
        <v>14.63</v>
      </c>
      <c r="J16" s="111">
        <v>17.63</v>
      </c>
      <c r="K16" s="111">
        <v>1.1000000000000001</v>
      </c>
      <c r="L16" s="111">
        <v>1.83</v>
      </c>
      <c r="M16" s="119">
        <f t="shared" si="0"/>
        <v>0.30136986301369867</v>
      </c>
      <c r="N16" s="112"/>
    </row>
    <row r="17" spans="1:35">
      <c r="A17" s="105"/>
      <c r="B17" s="111" t="s">
        <v>97</v>
      </c>
      <c r="C17" s="111">
        <v>25</v>
      </c>
      <c r="D17" s="111">
        <v>4.5</v>
      </c>
      <c r="E17" s="111">
        <v>1.4</v>
      </c>
      <c r="F17" s="111">
        <v>4.0999999999999996</v>
      </c>
      <c r="G17" s="111">
        <v>1.66</v>
      </c>
      <c r="H17" s="111">
        <v>3.81</v>
      </c>
      <c r="I17" s="111">
        <v>4.99</v>
      </c>
      <c r="J17" s="111">
        <v>6.01</v>
      </c>
      <c r="K17" s="111">
        <v>1.1000000000000001</v>
      </c>
      <c r="L17" s="111">
        <v>1.83</v>
      </c>
      <c r="M17" s="119">
        <f t="shared" si="0"/>
        <v>0.31111111111111112</v>
      </c>
      <c r="N17" s="112"/>
    </row>
    <row r="18" spans="1:35">
      <c r="A18" s="105"/>
      <c r="B18" s="111" t="s">
        <v>98</v>
      </c>
      <c r="C18" s="111">
        <v>45</v>
      </c>
      <c r="D18" s="111">
        <v>16.899999999999999</v>
      </c>
      <c r="E18" s="111">
        <v>5.9</v>
      </c>
      <c r="F18" s="111">
        <v>14.1</v>
      </c>
      <c r="G18" s="111">
        <v>6.51</v>
      </c>
      <c r="H18" s="111">
        <v>14.91</v>
      </c>
      <c r="I18" s="111">
        <v>14.2</v>
      </c>
      <c r="J18" s="111">
        <v>17.11</v>
      </c>
      <c r="K18" s="111">
        <v>2.2999999999999998</v>
      </c>
      <c r="L18" s="111">
        <v>3.82</v>
      </c>
      <c r="M18" s="119">
        <f t="shared" si="0"/>
        <v>0.34911242603550302</v>
      </c>
      <c r="N18" s="112"/>
      <c r="P18" t="s">
        <v>138</v>
      </c>
      <c r="Q18" t="s">
        <v>139</v>
      </c>
      <c r="R18" t="s">
        <v>140</v>
      </c>
      <c r="S18" t="s">
        <v>141</v>
      </c>
    </row>
    <row r="19" spans="1:35">
      <c r="A19" s="112" t="s">
        <v>99</v>
      </c>
      <c r="B19" s="111" t="s">
        <v>94</v>
      </c>
      <c r="C19" s="111">
        <v>2</v>
      </c>
      <c r="D19" s="111">
        <v>2.2000000000000002</v>
      </c>
      <c r="E19" s="111">
        <v>1.9</v>
      </c>
      <c r="F19" s="111">
        <v>2</v>
      </c>
      <c r="G19" s="111">
        <v>0.1</v>
      </c>
      <c r="H19" s="111">
        <v>0.23</v>
      </c>
      <c r="I19" s="111">
        <v>6.5</v>
      </c>
      <c r="J19" s="111">
        <v>7.83</v>
      </c>
      <c r="K19" s="111">
        <v>0.06</v>
      </c>
      <c r="L19" s="111">
        <v>0.1</v>
      </c>
      <c r="M19" s="119">
        <f t="shared" si="0"/>
        <v>0.86363636363636354</v>
      </c>
      <c r="N19" s="112"/>
      <c r="P19">
        <f>10*D19/$C$19</f>
        <v>11</v>
      </c>
    </row>
    <row r="20" spans="1:35">
      <c r="A20" s="105"/>
      <c r="B20" s="111" t="s">
        <v>15</v>
      </c>
      <c r="C20" s="111">
        <v>2</v>
      </c>
      <c r="D20" s="111">
        <v>2.5</v>
      </c>
      <c r="E20" s="111">
        <v>2.2000000000000002</v>
      </c>
      <c r="F20" s="111">
        <v>2.2000000000000002</v>
      </c>
      <c r="G20" s="111">
        <v>0.4</v>
      </c>
      <c r="H20" s="111">
        <v>0.92</v>
      </c>
      <c r="I20" s="111">
        <v>3</v>
      </c>
      <c r="J20" s="111">
        <v>3.61</v>
      </c>
      <c r="K20" s="111">
        <v>0.08</v>
      </c>
      <c r="L20" s="111">
        <v>0.13</v>
      </c>
      <c r="M20" s="119">
        <f t="shared" si="0"/>
        <v>0.88000000000000012</v>
      </c>
      <c r="N20" s="112"/>
      <c r="Q20">
        <f>10*D20/$C$20</f>
        <v>12.5</v>
      </c>
    </row>
    <row r="21" spans="1:35">
      <c r="A21" s="105"/>
      <c r="B21" s="111" t="s">
        <v>115</v>
      </c>
      <c r="C21" s="111">
        <v>2</v>
      </c>
      <c r="D21" s="111">
        <v>2.4</v>
      </c>
      <c r="E21" s="111">
        <v>2.1</v>
      </c>
      <c r="F21" s="111">
        <v>2.1</v>
      </c>
      <c r="G21" s="111">
        <v>0.25</v>
      </c>
      <c r="H21" s="111">
        <v>0.57999999999999996</v>
      </c>
      <c r="I21" s="111">
        <v>4.75</v>
      </c>
      <c r="J21" s="111">
        <v>5.72</v>
      </c>
      <c r="K21" s="111">
        <v>7.0000000000000007E-2</v>
      </c>
      <c r="L21" s="111">
        <v>0.12</v>
      </c>
      <c r="M21" s="119">
        <f t="shared" si="0"/>
        <v>0.87500000000000011</v>
      </c>
      <c r="N21" s="112"/>
      <c r="R21">
        <f>10*D21/C21</f>
        <v>12</v>
      </c>
    </row>
    <row r="22" spans="1:35">
      <c r="A22" s="112" t="s">
        <v>116</v>
      </c>
      <c r="B22" s="111" t="s">
        <v>94</v>
      </c>
      <c r="C22" s="111">
        <v>4</v>
      </c>
      <c r="D22" s="111">
        <v>1.9</v>
      </c>
      <c r="E22" s="111">
        <v>0.9</v>
      </c>
      <c r="F22" s="111">
        <v>1.6</v>
      </c>
      <c r="G22" s="111">
        <v>0.33</v>
      </c>
      <c r="H22" s="111">
        <v>0.76</v>
      </c>
      <c r="I22" s="111">
        <v>2.2200000000000002</v>
      </c>
      <c r="J22" s="111">
        <v>2.67</v>
      </c>
      <c r="K22" s="111">
        <v>0.25</v>
      </c>
      <c r="L22" s="111">
        <v>0.41</v>
      </c>
      <c r="M22" s="119">
        <f t="shared" si="0"/>
        <v>0.47368421052631582</v>
      </c>
      <c r="N22" s="112"/>
      <c r="P22">
        <f>10*D22/$C$22</f>
        <v>4.75</v>
      </c>
    </row>
    <row r="23" spans="1:35">
      <c r="A23" s="105"/>
      <c r="B23" s="111" t="s">
        <v>15</v>
      </c>
      <c r="C23" s="111">
        <v>4</v>
      </c>
      <c r="D23" s="111">
        <v>3.8</v>
      </c>
      <c r="E23" s="111">
        <v>2.5</v>
      </c>
      <c r="F23" s="111">
        <v>3.2</v>
      </c>
      <c r="G23" s="111">
        <v>1.1299999999999999</v>
      </c>
      <c r="H23" s="111">
        <v>2.58</v>
      </c>
      <c r="I23" s="111">
        <v>2.1</v>
      </c>
      <c r="J23" s="111">
        <v>2.5299999999999998</v>
      </c>
      <c r="K23" s="111">
        <v>0.3</v>
      </c>
      <c r="L23" s="111">
        <v>0.5</v>
      </c>
      <c r="M23" s="119">
        <f t="shared" si="0"/>
        <v>0.65789473684210531</v>
      </c>
      <c r="N23" s="112"/>
      <c r="Q23">
        <f>10*D23/$C$23</f>
        <v>9.5</v>
      </c>
    </row>
    <row r="24" spans="1:35">
      <c r="A24" s="112" t="s">
        <v>117</v>
      </c>
      <c r="B24" s="111" t="s">
        <v>94</v>
      </c>
      <c r="C24" s="111">
        <v>8</v>
      </c>
      <c r="D24" s="111">
        <v>3.8</v>
      </c>
      <c r="E24" s="111">
        <v>1.9</v>
      </c>
      <c r="F24" s="111">
        <v>3.1</v>
      </c>
      <c r="G24" s="111">
        <v>0.67</v>
      </c>
      <c r="H24" s="111">
        <v>1.53</v>
      </c>
      <c r="I24" s="111">
        <v>4.4400000000000004</v>
      </c>
      <c r="J24" s="111">
        <v>5.34</v>
      </c>
      <c r="K24" s="111">
        <v>0.5</v>
      </c>
      <c r="L24" s="111">
        <v>0.83</v>
      </c>
      <c r="M24" s="119">
        <f t="shared" si="0"/>
        <v>0.5</v>
      </c>
      <c r="N24" s="112"/>
      <c r="P24">
        <f>10*D24/$C$24</f>
        <v>4.75</v>
      </c>
    </row>
    <row r="25" spans="1:35">
      <c r="A25" s="105"/>
      <c r="B25" s="111" t="s">
        <v>15</v>
      </c>
      <c r="C25" s="111">
        <v>8</v>
      </c>
      <c r="D25" s="111">
        <v>7.5</v>
      </c>
      <c r="E25" s="111">
        <v>4.9000000000000004</v>
      </c>
      <c r="F25" s="111">
        <v>6.5</v>
      </c>
      <c r="G25" s="111">
        <v>2.25</v>
      </c>
      <c r="H25" s="111">
        <v>5.16</v>
      </c>
      <c r="I25" s="111">
        <v>4.2</v>
      </c>
      <c r="J25" s="111">
        <v>5.0599999999999996</v>
      </c>
      <c r="K25" s="111">
        <v>0.6</v>
      </c>
      <c r="L25" s="111">
        <v>0.83</v>
      </c>
      <c r="M25" s="119">
        <f t="shared" si="0"/>
        <v>0.65333333333333343</v>
      </c>
      <c r="N25" s="112"/>
      <c r="Q25">
        <f>10*D25/$C$25</f>
        <v>9.375</v>
      </c>
    </row>
    <row r="26" spans="1:35">
      <c r="A26" s="105"/>
      <c r="B26" s="111" t="s">
        <v>115</v>
      </c>
      <c r="C26" s="111">
        <v>8</v>
      </c>
      <c r="D26" s="111">
        <v>5.7</v>
      </c>
      <c r="E26" s="111">
        <v>3.4</v>
      </c>
      <c r="F26" s="111">
        <v>4.8</v>
      </c>
      <c r="G26" s="111">
        <v>1.46</v>
      </c>
      <c r="H26" s="111">
        <v>3.34</v>
      </c>
      <c r="I26" s="111">
        <v>4.3099999999999996</v>
      </c>
      <c r="J26" s="111">
        <v>5.19</v>
      </c>
      <c r="K26" s="111">
        <v>0.55000000000000004</v>
      </c>
      <c r="L26" s="111">
        <v>0.83</v>
      </c>
      <c r="M26" s="119">
        <f t="shared" si="0"/>
        <v>0.59649122807017541</v>
      </c>
      <c r="N26" s="112"/>
      <c r="R26">
        <f>10*D26/C26</f>
        <v>7.125</v>
      </c>
    </row>
    <row r="27" spans="1:35">
      <c r="A27" s="112" t="s">
        <v>118</v>
      </c>
      <c r="B27" s="111" t="s">
        <v>94</v>
      </c>
      <c r="C27" s="111">
        <v>12</v>
      </c>
      <c r="D27" s="111">
        <v>5.7</v>
      </c>
      <c r="E27" s="111">
        <v>2.8</v>
      </c>
      <c r="F27" s="111">
        <v>4.7</v>
      </c>
      <c r="G27" s="111">
        <v>1</v>
      </c>
      <c r="H27" s="111">
        <v>2.29</v>
      </c>
      <c r="I27" s="111">
        <v>6.64</v>
      </c>
      <c r="J27" s="111">
        <v>8</v>
      </c>
      <c r="K27" s="111">
        <v>0.75</v>
      </c>
      <c r="L27" s="111">
        <v>1.24</v>
      </c>
      <c r="M27" s="119">
        <f t="shared" si="0"/>
        <v>0.49122807017543857</v>
      </c>
      <c r="N27" s="112"/>
      <c r="P27">
        <f>10*D27/$C$27</f>
        <v>4.75</v>
      </c>
    </row>
    <row r="28" spans="1:35">
      <c r="A28" s="105"/>
      <c r="B28" s="111" t="s">
        <v>15</v>
      </c>
      <c r="C28" s="111">
        <v>12</v>
      </c>
      <c r="D28" s="111">
        <v>11.3</v>
      </c>
      <c r="E28" s="111">
        <v>7.4</v>
      </c>
      <c r="F28" s="111">
        <v>9.6999999999999993</v>
      </c>
      <c r="G28" s="111">
        <v>3.38</v>
      </c>
      <c r="H28" s="111">
        <v>7.74</v>
      </c>
      <c r="I28" s="111">
        <v>6.3</v>
      </c>
      <c r="J28" s="111">
        <v>7.59</v>
      </c>
      <c r="K28" s="111">
        <v>0.9</v>
      </c>
      <c r="L28" s="111">
        <v>1.49</v>
      </c>
      <c r="M28" s="119">
        <f t="shared" si="0"/>
        <v>0.65486725663716816</v>
      </c>
      <c r="N28" s="112"/>
      <c r="Q28">
        <f>10*D28/$C$28</f>
        <v>9.4166666666666661</v>
      </c>
    </row>
    <row r="29" spans="1:35">
      <c r="A29" s="105"/>
      <c r="B29" s="111" t="s">
        <v>98</v>
      </c>
      <c r="C29" s="111">
        <v>12</v>
      </c>
      <c r="D29" s="111">
        <v>9.1</v>
      </c>
      <c r="E29" s="111">
        <v>5</v>
      </c>
      <c r="F29" s="111">
        <v>7.5</v>
      </c>
      <c r="G29" s="111">
        <v>4.7</v>
      </c>
      <c r="H29" s="111">
        <v>10.77</v>
      </c>
      <c r="I29" s="111">
        <v>5.7</v>
      </c>
      <c r="J29" s="111">
        <v>6.87</v>
      </c>
      <c r="K29" s="111">
        <v>0.9</v>
      </c>
      <c r="L29" s="111">
        <v>1.49</v>
      </c>
      <c r="M29" s="119">
        <f t="shared" si="0"/>
        <v>0.5494505494505495</v>
      </c>
      <c r="N29" s="112"/>
      <c r="O29" t="s">
        <v>143</v>
      </c>
      <c r="P29">
        <f>AVERAGE(P21:P28)</f>
        <v>4.75</v>
      </c>
      <c r="Q29">
        <f>AVERAGE(Q21:Q28)</f>
        <v>9.4305555555555554</v>
      </c>
      <c r="S29" s="17">
        <f>10*D29/C29</f>
        <v>7.583333333333333</v>
      </c>
      <c r="W29" s="17"/>
      <c r="AA29" s="17"/>
      <c r="AE29" s="17"/>
      <c r="AI29" s="17"/>
    </row>
    <row r="30" spans="1:35">
      <c r="A30" s="113" t="s">
        <v>142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9"/>
      <c r="N30" s="118"/>
      <c r="S30" s="17"/>
      <c r="W30" s="17"/>
      <c r="AA30" s="17"/>
      <c r="AE30" s="17"/>
      <c r="AI30" s="17"/>
    </row>
    <row r="31" spans="1:35">
      <c r="A31" s="113" t="s">
        <v>100</v>
      </c>
      <c r="B31" s="114" t="s">
        <v>94</v>
      </c>
      <c r="C31" s="114">
        <v>10</v>
      </c>
      <c r="D31" s="114">
        <f>+(D24+D27)/2</f>
        <v>4.75</v>
      </c>
      <c r="E31" s="114">
        <f>+(E24+E27)/2</f>
        <v>2.3499999999999996</v>
      </c>
      <c r="F31" s="114">
        <f t="shared" ref="F31:L31" si="1">+(F24+F27)/2</f>
        <v>3.9000000000000004</v>
      </c>
      <c r="G31" s="114">
        <f t="shared" si="1"/>
        <v>0.83499999999999996</v>
      </c>
      <c r="H31" s="114">
        <f t="shared" si="1"/>
        <v>1.9100000000000001</v>
      </c>
      <c r="I31" s="114">
        <f t="shared" si="1"/>
        <v>5.54</v>
      </c>
      <c r="J31" s="114">
        <f t="shared" si="1"/>
        <v>6.67</v>
      </c>
      <c r="K31" s="114">
        <f t="shared" si="1"/>
        <v>0.625</v>
      </c>
      <c r="L31" s="114">
        <f t="shared" si="1"/>
        <v>1.0349999999999999</v>
      </c>
      <c r="M31" s="119">
        <f t="shared" si="0"/>
        <v>0.49473684210526309</v>
      </c>
      <c r="N31" s="118"/>
      <c r="S31" s="17"/>
      <c r="W31" s="17"/>
      <c r="AA31" s="17"/>
      <c r="AE31" s="17"/>
      <c r="AI31" s="17"/>
    </row>
    <row r="32" spans="1:35">
      <c r="A32" s="113"/>
      <c r="B32" s="114" t="s">
        <v>15</v>
      </c>
      <c r="C32" s="114">
        <v>10</v>
      </c>
      <c r="D32" s="114">
        <f t="shared" ref="D32:L32" si="2">+(D25+D28)/2</f>
        <v>9.4</v>
      </c>
      <c r="E32" s="114">
        <f t="shared" si="2"/>
        <v>6.15</v>
      </c>
      <c r="F32" s="114">
        <f t="shared" si="2"/>
        <v>8.1</v>
      </c>
      <c r="G32" s="114">
        <f t="shared" si="2"/>
        <v>2.8149999999999999</v>
      </c>
      <c r="H32" s="114">
        <f t="shared" si="2"/>
        <v>6.45</v>
      </c>
      <c r="I32" s="114">
        <f t="shared" si="2"/>
        <v>5.25</v>
      </c>
      <c r="J32" s="114">
        <f t="shared" si="2"/>
        <v>6.3249999999999993</v>
      </c>
      <c r="K32" s="114">
        <f t="shared" si="2"/>
        <v>0.75</v>
      </c>
      <c r="L32" s="114">
        <f t="shared" si="2"/>
        <v>1.1599999999999999</v>
      </c>
      <c r="M32" s="119">
        <f t="shared" si="0"/>
        <v>0.6542553191489362</v>
      </c>
      <c r="N32" s="118"/>
      <c r="S32" s="17"/>
      <c r="W32" s="17"/>
      <c r="AA32" s="17"/>
      <c r="AE32" s="17"/>
      <c r="AI32" s="17"/>
    </row>
    <row r="33" spans="1:35">
      <c r="A33" s="105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9"/>
      <c r="N33" s="112"/>
      <c r="S33" s="17"/>
      <c r="W33" s="17"/>
      <c r="AA33" s="17"/>
      <c r="AE33" s="17"/>
      <c r="AI33" s="17"/>
    </row>
    <row r="34" spans="1:35">
      <c r="A34" s="105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9"/>
      <c r="N34" s="112"/>
      <c r="S34" s="17"/>
      <c r="W34" s="17"/>
      <c r="AA34" s="17"/>
      <c r="AE34" s="17"/>
      <c r="AI34" s="17"/>
    </row>
    <row r="35" spans="1:35">
      <c r="A35" s="112" t="s">
        <v>12</v>
      </c>
      <c r="B35" s="111" t="s">
        <v>101</v>
      </c>
      <c r="C35" s="111">
        <v>28</v>
      </c>
      <c r="D35" s="111">
        <v>17.100000000000001</v>
      </c>
      <c r="E35" s="111">
        <v>3</v>
      </c>
      <c r="F35" s="111">
        <v>14.7</v>
      </c>
      <c r="G35" s="111">
        <v>4.76</v>
      </c>
      <c r="H35" s="111">
        <v>10.9</v>
      </c>
      <c r="I35" s="111">
        <v>6.89</v>
      </c>
      <c r="J35" s="111">
        <v>8.3000000000000007</v>
      </c>
      <c r="K35" s="111">
        <v>2.4</v>
      </c>
      <c r="L35" s="111">
        <v>4</v>
      </c>
      <c r="M35" s="119">
        <f t="shared" si="0"/>
        <v>0.17543859649122806</v>
      </c>
      <c r="N35" s="112"/>
      <c r="S35" s="17">
        <f>10*D35/C35</f>
        <v>6.1071428571428568</v>
      </c>
      <c r="W35" s="17"/>
      <c r="AA35" s="17"/>
      <c r="AE35" s="17"/>
      <c r="AI35" s="17"/>
    </row>
    <row r="36" spans="1:35">
      <c r="A36" s="105"/>
      <c r="B36" s="111" t="s">
        <v>102</v>
      </c>
      <c r="C36" s="111">
        <v>50</v>
      </c>
      <c r="D36" s="111">
        <v>28.6</v>
      </c>
      <c r="E36" s="111">
        <v>10.9</v>
      </c>
      <c r="F36" s="111">
        <v>24.5</v>
      </c>
      <c r="G36" s="111">
        <v>10.039999999999999</v>
      </c>
      <c r="H36" s="111">
        <v>23</v>
      </c>
      <c r="I36" s="111">
        <v>16.68</v>
      </c>
      <c r="J36" s="111">
        <v>20.100000000000001</v>
      </c>
      <c r="K36" s="111">
        <v>3.13</v>
      </c>
      <c r="L36" s="111">
        <v>7.7</v>
      </c>
      <c r="M36" s="119">
        <f t="shared" si="0"/>
        <v>0.38111888111888109</v>
      </c>
      <c r="N36" s="112"/>
      <c r="S36" s="17">
        <f>10*D36/C36</f>
        <v>5.72</v>
      </c>
      <c r="W36" s="17"/>
      <c r="AA36" s="17"/>
      <c r="AE36" s="17"/>
      <c r="AI36" s="17"/>
    </row>
    <row r="37" spans="1:35" ht="22.5">
      <c r="A37" s="105"/>
      <c r="B37" s="111" t="s">
        <v>119</v>
      </c>
      <c r="C37" s="111">
        <v>70</v>
      </c>
      <c r="D37" s="111">
        <v>32.1</v>
      </c>
      <c r="E37" s="111">
        <v>11</v>
      </c>
      <c r="F37" s="111">
        <v>27.5</v>
      </c>
      <c r="G37" s="111">
        <v>13.48</v>
      </c>
      <c r="H37" s="111">
        <v>30.9</v>
      </c>
      <c r="I37" s="111">
        <v>18.09</v>
      </c>
      <c r="J37" s="111">
        <v>21.8</v>
      </c>
      <c r="K37" s="111">
        <v>4.74</v>
      </c>
      <c r="L37" s="111">
        <v>7.9</v>
      </c>
      <c r="M37" s="119">
        <f t="shared" si="0"/>
        <v>0.34267912772585668</v>
      </c>
      <c r="N37" s="112"/>
      <c r="S37" s="17">
        <f>10*D37/C37</f>
        <v>4.5857142857142854</v>
      </c>
      <c r="W37" s="17"/>
      <c r="AA37" s="17"/>
      <c r="AE37" s="17"/>
      <c r="AI37" s="17"/>
    </row>
    <row r="38" spans="1:35">
      <c r="A38" s="112" t="s">
        <v>120</v>
      </c>
      <c r="B38" s="111" t="s">
        <v>103</v>
      </c>
      <c r="C38" s="111">
        <v>4</v>
      </c>
      <c r="D38" s="111">
        <v>1.4</v>
      </c>
      <c r="E38" s="111">
        <v>0.7</v>
      </c>
      <c r="F38" s="111" t="s">
        <v>104</v>
      </c>
      <c r="G38" s="111">
        <v>0.3</v>
      </c>
      <c r="H38" s="111">
        <v>0.69</v>
      </c>
      <c r="I38" s="111">
        <v>3.4</v>
      </c>
      <c r="J38" s="111">
        <v>4.0999999999999996</v>
      </c>
      <c r="K38" s="111">
        <v>0.3</v>
      </c>
      <c r="L38" s="111">
        <v>0.5</v>
      </c>
      <c r="M38" s="119">
        <f t="shared" si="0"/>
        <v>0.5</v>
      </c>
      <c r="N38" s="112"/>
      <c r="S38" s="17"/>
    </row>
    <row r="39" spans="1:35">
      <c r="A39" s="105"/>
      <c r="B39" s="111" t="s">
        <v>105</v>
      </c>
      <c r="C39" s="111">
        <v>27</v>
      </c>
      <c r="D39" s="111">
        <v>9.5</v>
      </c>
      <c r="E39" s="111">
        <v>1.4</v>
      </c>
      <c r="F39" s="111" t="s">
        <v>104</v>
      </c>
      <c r="G39" s="111">
        <v>5.4</v>
      </c>
      <c r="H39" s="111">
        <v>12.37</v>
      </c>
      <c r="I39" s="111">
        <v>0.8</v>
      </c>
      <c r="J39" s="111">
        <v>0.96</v>
      </c>
      <c r="K39" s="111">
        <v>1.1000000000000001</v>
      </c>
      <c r="L39" s="111">
        <v>1.82</v>
      </c>
      <c r="M39" s="119">
        <f t="shared" si="0"/>
        <v>0.14736842105263157</v>
      </c>
      <c r="N39" s="112"/>
    </row>
    <row r="40" spans="1:35" ht="22.5">
      <c r="A40" s="105"/>
      <c r="B40" s="111" t="s">
        <v>106</v>
      </c>
      <c r="C40" s="111">
        <v>35</v>
      </c>
      <c r="D40" s="111">
        <v>9.1</v>
      </c>
      <c r="E40" s="111">
        <v>2.1</v>
      </c>
      <c r="F40" s="111" t="s">
        <v>104</v>
      </c>
      <c r="G40" s="111">
        <v>4.9000000000000004</v>
      </c>
      <c r="H40" s="111">
        <v>11.23</v>
      </c>
      <c r="I40" s="111">
        <v>1.4</v>
      </c>
      <c r="J40" s="111">
        <v>1.69</v>
      </c>
      <c r="K40" s="111">
        <v>1</v>
      </c>
      <c r="L40" s="111">
        <v>1.66</v>
      </c>
      <c r="M40" s="119">
        <f t="shared" si="0"/>
        <v>0.23076923076923078</v>
      </c>
      <c r="N40" s="112"/>
    </row>
    <row r="41" spans="1:35">
      <c r="A41" s="105"/>
      <c r="B41" s="111" t="s">
        <v>107</v>
      </c>
      <c r="C41" s="111">
        <v>60</v>
      </c>
      <c r="D41" s="111">
        <v>7.7</v>
      </c>
      <c r="E41" s="111">
        <v>0.4</v>
      </c>
      <c r="F41" s="111" t="s">
        <v>104</v>
      </c>
      <c r="G41" s="111">
        <v>1.9</v>
      </c>
      <c r="H41" s="111">
        <v>4.3499999999999996</v>
      </c>
      <c r="I41" s="111">
        <v>6.2</v>
      </c>
      <c r="J41" s="111">
        <v>7.47</v>
      </c>
      <c r="K41" s="111">
        <v>3.4</v>
      </c>
      <c r="L41" s="111">
        <v>5.64</v>
      </c>
      <c r="M41" s="119">
        <f t="shared" si="0"/>
        <v>5.1948051948051951E-2</v>
      </c>
      <c r="N41" s="112"/>
    </row>
    <row r="42" spans="1:35">
      <c r="A42" s="105"/>
      <c r="B42" s="111" t="s">
        <v>108</v>
      </c>
      <c r="C42" s="111">
        <v>60</v>
      </c>
      <c r="D42" s="111">
        <v>6.4</v>
      </c>
      <c r="E42" s="111">
        <v>0.4</v>
      </c>
      <c r="F42" s="111" t="s">
        <v>104</v>
      </c>
      <c r="G42" s="111">
        <v>1.5</v>
      </c>
      <c r="H42" s="111">
        <v>3.44</v>
      </c>
      <c r="I42" s="111">
        <v>4.4000000000000004</v>
      </c>
      <c r="J42" s="111">
        <v>5.3</v>
      </c>
      <c r="K42" s="111">
        <v>2.6</v>
      </c>
      <c r="L42" s="111">
        <v>4.3099999999999996</v>
      </c>
      <c r="M42" s="119">
        <f t="shared" si="0"/>
        <v>6.25E-2</v>
      </c>
      <c r="N42" s="112"/>
    </row>
    <row r="43" spans="1:35">
      <c r="A43" s="105"/>
      <c r="B43" s="111" t="s">
        <v>109</v>
      </c>
      <c r="C43" s="111">
        <v>95</v>
      </c>
      <c r="D43" s="111">
        <v>50</v>
      </c>
      <c r="E43" s="111">
        <v>4</v>
      </c>
      <c r="F43" s="111" t="s">
        <v>104</v>
      </c>
      <c r="G43" s="111">
        <v>90</v>
      </c>
      <c r="H43" s="111">
        <v>206</v>
      </c>
      <c r="I43" s="111">
        <v>3</v>
      </c>
      <c r="J43" s="111">
        <v>3.62</v>
      </c>
      <c r="K43" s="111">
        <v>2.6</v>
      </c>
      <c r="L43" s="111">
        <v>4.3099999999999996</v>
      </c>
      <c r="M43" s="119">
        <f t="shared" si="0"/>
        <v>0.08</v>
      </c>
      <c r="N43" s="112"/>
    </row>
    <row r="44" spans="1:35">
      <c r="A44" s="105"/>
      <c r="B44" s="111" t="s">
        <v>110</v>
      </c>
      <c r="C44" s="111">
        <v>95</v>
      </c>
      <c r="D44" s="111">
        <v>70</v>
      </c>
      <c r="E44" s="111">
        <v>4.5</v>
      </c>
      <c r="F44" s="111" t="s">
        <v>104</v>
      </c>
      <c r="G44" s="111">
        <v>65</v>
      </c>
      <c r="H44" s="111">
        <v>149</v>
      </c>
      <c r="I44" s="111">
        <v>3</v>
      </c>
      <c r="J44" s="111">
        <v>3.62</v>
      </c>
      <c r="K44" s="111">
        <v>2.6</v>
      </c>
      <c r="L44" s="111">
        <v>4.3099999999999996</v>
      </c>
      <c r="M44" s="119">
        <f t="shared" si="0"/>
        <v>6.4285714285714279E-2</v>
      </c>
      <c r="N44" s="112"/>
    </row>
    <row r="45" spans="1:35">
      <c r="A45" s="112" t="s">
        <v>111</v>
      </c>
      <c r="B45" s="111" t="s">
        <v>112</v>
      </c>
      <c r="C45" s="111">
        <v>86</v>
      </c>
      <c r="D45" s="111">
        <v>5</v>
      </c>
      <c r="E45" s="111">
        <v>0</v>
      </c>
      <c r="F45" s="111" t="s">
        <v>104</v>
      </c>
      <c r="G45" s="111">
        <v>1.3</v>
      </c>
      <c r="H45" s="111">
        <v>2.98</v>
      </c>
      <c r="I45" s="111">
        <v>11.6</v>
      </c>
      <c r="J45" s="111">
        <v>14</v>
      </c>
      <c r="K45" s="111">
        <v>1.2</v>
      </c>
      <c r="L45" s="111">
        <v>1.99</v>
      </c>
      <c r="M45" s="119">
        <f t="shared" si="0"/>
        <v>0</v>
      </c>
      <c r="N45" s="112"/>
    </row>
    <row r="46" spans="1:35">
      <c r="A46" s="105"/>
      <c r="B46" s="111" t="s">
        <v>113</v>
      </c>
      <c r="C46" s="111">
        <v>15</v>
      </c>
      <c r="D46" s="111">
        <v>4</v>
      </c>
      <c r="E46" s="111">
        <v>0</v>
      </c>
      <c r="F46" s="111" t="s">
        <v>104</v>
      </c>
      <c r="G46" s="111">
        <v>0.5</v>
      </c>
      <c r="H46" s="111">
        <v>1.1499999999999999</v>
      </c>
      <c r="I46" s="111">
        <v>5</v>
      </c>
      <c r="J46" s="111">
        <v>6.03</v>
      </c>
      <c r="K46" s="111">
        <v>0.6</v>
      </c>
      <c r="L46" s="111">
        <v>0.99</v>
      </c>
      <c r="M46" s="119">
        <f t="shared" si="0"/>
        <v>0</v>
      </c>
      <c r="N46" s="112"/>
    </row>
    <row r="47" spans="1:35" ht="22.5">
      <c r="A47" s="105"/>
      <c r="B47" s="111" t="s">
        <v>114</v>
      </c>
      <c r="C47" s="111">
        <v>15</v>
      </c>
      <c r="D47" s="111">
        <v>5</v>
      </c>
      <c r="E47" s="111">
        <v>0</v>
      </c>
      <c r="F47" s="111" t="s">
        <v>104</v>
      </c>
      <c r="G47" s="111">
        <v>0.6</v>
      </c>
      <c r="H47" s="111">
        <v>1.37</v>
      </c>
      <c r="I47" s="111">
        <v>4</v>
      </c>
      <c r="J47" s="111">
        <v>4.82</v>
      </c>
      <c r="K47" s="111">
        <v>0.3</v>
      </c>
      <c r="L47" s="111">
        <v>0.5</v>
      </c>
      <c r="M47" s="119">
        <f t="shared" si="0"/>
        <v>0</v>
      </c>
      <c r="N47" s="112"/>
    </row>
    <row r="48" spans="1:35" ht="22.5">
      <c r="A48" s="105"/>
      <c r="B48" s="111" t="s">
        <v>121</v>
      </c>
      <c r="C48" s="111">
        <v>15</v>
      </c>
      <c r="D48" s="111">
        <v>4</v>
      </c>
      <c r="E48" s="111">
        <v>0</v>
      </c>
      <c r="F48" s="111" t="s">
        <v>104</v>
      </c>
      <c r="G48" s="111">
        <v>0.4</v>
      </c>
      <c r="H48" s="111">
        <v>0.92</v>
      </c>
      <c r="I48" s="111">
        <v>4</v>
      </c>
      <c r="J48" s="111">
        <v>4.82</v>
      </c>
      <c r="K48" s="111">
        <v>0.5</v>
      </c>
      <c r="L48" s="111">
        <v>0.83</v>
      </c>
      <c r="M48" s="119">
        <f t="shared" si="0"/>
        <v>0</v>
      </c>
      <c r="N48" s="112"/>
    </row>
    <row r="49" spans="1:8">
      <c r="A49" s="12" t="s">
        <v>129</v>
      </c>
    </row>
    <row r="50" spans="1:8">
      <c r="A50" s="107"/>
    </row>
    <row r="51" spans="1:8">
      <c r="A51" s="12" t="s">
        <v>130</v>
      </c>
    </row>
    <row r="52" spans="1:8">
      <c r="A52" s="107"/>
    </row>
    <row r="53" spans="1:8" ht="15.75">
      <c r="A53" s="110"/>
    </row>
    <row r="57" spans="1:8">
      <c r="A57" s="166" t="s">
        <v>195</v>
      </c>
      <c r="B57" s="167">
        <v>86</v>
      </c>
      <c r="C57" s="167" t="s">
        <v>104</v>
      </c>
      <c r="D57" s="167">
        <v>1.66</v>
      </c>
      <c r="E57" s="168">
        <v>0.35</v>
      </c>
      <c r="G57">
        <f>+D57/H57</f>
        <v>0.15090909090909091</v>
      </c>
      <c r="H57">
        <v>11</v>
      </c>
    </row>
    <row r="58" spans="1:8">
      <c r="A58" s="169" t="s">
        <v>112</v>
      </c>
      <c r="B58" s="170">
        <v>86</v>
      </c>
      <c r="C58" s="170" t="s">
        <v>104</v>
      </c>
      <c r="D58" s="170">
        <v>0.5</v>
      </c>
      <c r="E58" s="171">
        <v>0.13</v>
      </c>
    </row>
    <row r="59" spans="1:8">
      <c r="A59" s="172" t="s">
        <v>196</v>
      </c>
      <c r="B59" s="173" t="s">
        <v>104</v>
      </c>
      <c r="C59" s="173">
        <v>0.8</v>
      </c>
      <c r="D59" s="173">
        <v>2.06</v>
      </c>
      <c r="E59" s="174">
        <v>0.45</v>
      </c>
    </row>
    <row r="60" spans="1:8">
      <c r="A60" s="169" t="s">
        <v>197</v>
      </c>
      <c r="B60" s="170">
        <v>86</v>
      </c>
      <c r="C60" s="170" t="s">
        <v>104</v>
      </c>
      <c r="D60" s="170">
        <v>1.81</v>
      </c>
      <c r="E60" s="171">
        <v>0.35</v>
      </c>
      <c r="G60">
        <f>+D60/H60</f>
        <v>0.15083333333333335</v>
      </c>
      <c r="H60">
        <v>12</v>
      </c>
    </row>
    <row r="61" spans="1:8">
      <c r="A61" s="169" t="s">
        <v>112</v>
      </c>
      <c r="B61" s="170">
        <v>86</v>
      </c>
      <c r="C61" s="170" t="s">
        <v>104</v>
      </c>
      <c r="D61" s="170">
        <v>0.5</v>
      </c>
      <c r="E61" s="171">
        <v>0.13</v>
      </c>
    </row>
    <row r="62" spans="1:8">
      <c r="A62" s="172" t="s">
        <v>196</v>
      </c>
      <c r="B62" s="173" t="s">
        <v>104</v>
      </c>
      <c r="C62" s="173">
        <v>0.8</v>
      </c>
      <c r="D62" s="173">
        <v>2.21</v>
      </c>
      <c r="E62" s="174">
        <v>0.45</v>
      </c>
    </row>
    <row r="63" spans="1:8">
      <c r="A63" s="169" t="s">
        <v>198</v>
      </c>
      <c r="B63" s="170">
        <v>86</v>
      </c>
      <c r="C63" s="170" t="s">
        <v>104</v>
      </c>
      <c r="D63" s="170">
        <v>1.96</v>
      </c>
      <c r="E63" s="171">
        <v>0.35</v>
      </c>
      <c r="G63">
        <f>+D63/H63</f>
        <v>0.15076923076923077</v>
      </c>
      <c r="H63">
        <v>13</v>
      </c>
    </row>
    <row r="64" spans="1:8">
      <c r="A64" s="169" t="s">
        <v>112</v>
      </c>
      <c r="B64" s="170">
        <v>86</v>
      </c>
      <c r="C64" s="170" t="s">
        <v>104</v>
      </c>
      <c r="D64" s="170">
        <v>0.5</v>
      </c>
      <c r="E64" s="171">
        <v>0.13</v>
      </c>
    </row>
    <row r="65" spans="1:12">
      <c r="A65" s="172" t="s">
        <v>196</v>
      </c>
      <c r="B65" s="173" t="s">
        <v>104</v>
      </c>
      <c r="C65" s="173">
        <v>0.8</v>
      </c>
      <c r="D65" s="173">
        <v>2.36</v>
      </c>
      <c r="E65" s="174">
        <v>0.45</v>
      </c>
    </row>
    <row r="66" spans="1:12">
      <c r="A66" s="169" t="s">
        <v>199</v>
      </c>
      <c r="B66" s="170">
        <v>86</v>
      </c>
      <c r="C66" s="170" t="s">
        <v>104</v>
      </c>
      <c r="D66" s="170">
        <v>2.11</v>
      </c>
      <c r="E66" s="171">
        <v>0.35</v>
      </c>
      <c r="G66">
        <f>+D66/H66</f>
        <v>0.15071428571428572</v>
      </c>
      <c r="H66">
        <v>14</v>
      </c>
    </row>
    <row r="67" spans="1:12">
      <c r="A67" s="169" t="s">
        <v>112</v>
      </c>
      <c r="B67" s="170">
        <v>86</v>
      </c>
      <c r="C67" s="170" t="s">
        <v>104</v>
      </c>
      <c r="D67" s="170">
        <v>0.5</v>
      </c>
      <c r="E67" s="171">
        <v>0.13</v>
      </c>
    </row>
    <row r="68" spans="1:12">
      <c r="A68" s="172" t="s">
        <v>196</v>
      </c>
      <c r="B68" s="173" t="s">
        <v>104</v>
      </c>
      <c r="C68" s="173">
        <v>0.8</v>
      </c>
      <c r="D68" s="173">
        <v>2.5099999999999998</v>
      </c>
      <c r="E68" s="174">
        <v>0.45</v>
      </c>
    </row>
    <row r="69" spans="1:12">
      <c r="A69" s="169" t="s">
        <v>200</v>
      </c>
      <c r="B69" s="170">
        <v>86</v>
      </c>
      <c r="C69" s="170" t="s">
        <v>104</v>
      </c>
      <c r="D69" s="170">
        <v>2.2599999999999998</v>
      </c>
      <c r="E69" s="171">
        <v>0.35</v>
      </c>
      <c r="G69">
        <f>+D69/H69</f>
        <v>0.15066666666666664</v>
      </c>
      <c r="H69">
        <v>15</v>
      </c>
    </row>
    <row r="70" spans="1:12">
      <c r="A70" s="169" t="s">
        <v>112</v>
      </c>
      <c r="B70" s="170">
        <v>86</v>
      </c>
      <c r="C70" s="170" t="s">
        <v>104</v>
      </c>
      <c r="D70" s="170">
        <v>0.5</v>
      </c>
      <c r="E70" s="171">
        <v>0.13</v>
      </c>
    </row>
    <row r="71" spans="1:12">
      <c r="A71" s="172" t="s">
        <v>196</v>
      </c>
      <c r="B71" s="173" t="s">
        <v>104</v>
      </c>
      <c r="C71" s="173">
        <v>0.8</v>
      </c>
      <c r="D71" s="173">
        <v>2.66</v>
      </c>
      <c r="E71" s="174">
        <v>0.45</v>
      </c>
    </row>
    <row r="72" spans="1:12">
      <c r="A72" s="169" t="s">
        <v>201</v>
      </c>
      <c r="B72" s="170">
        <v>86</v>
      </c>
      <c r="C72" s="170" t="s">
        <v>104</v>
      </c>
      <c r="D72" s="170">
        <v>2.41</v>
      </c>
      <c r="E72" s="171">
        <v>0.35</v>
      </c>
      <c r="G72">
        <f>+D72/H72</f>
        <v>0.15062500000000001</v>
      </c>
      <c r="H72">
        <v>16</v>
      </c>
    </row>
    <row r="73" spans="1:12">
      <c r="A73" s="169" t="s">
        <v>112</v>
      </c>
      <c r="B73" s="170">
        <v>86</v>
      </c>
      <c r="C73" s="170" t="s">
        <v>104</v>
      </c>
      <c r="D73" s="170">
        <v>0.5</v>
      </c>
      <c r="E73" s="171">
        <v>0.13</v>
      </c>
    </row>
    <row r="74" spans="1:12">
      <c r="A74" s="172" t="s">
        <v>196</v>
      </c>
      <c r="B74" s="173" t="s">
        <v>104</v>
      </c>
      <c r="C74" s="173">
        <v>0.8</v>
      </c>
      <c r="D74" s="173">
        <v>2.81</v>
      </c>
      <c r="E74" s="174">
        <v>0.45</v>
      </c>
    </row>
    <row r="75" spans="1:12">
      <c r="A75" s="169" t="s">
        <v>202</v>
      </c>
      <c r="B75" s="170">
        <v>50</v>
      </c>
      <c r="C75" s="170" t="s">
        <v>104</v>
      </c>
      <c r="D75" s="170">
        <v>0.7</v>
      </c>
      <c r="E75" s="171">
        <v>0.15</v>
      </c>
    </row>
    <row r="76" spans="1:12">
      <c r="I76" t="s">
        <v>24</v>
      </c>
    </row>
    <row r="77" spans="1:12">
      <c r="G77">
        <f>AVERAGE(G57:G73)</f>
        <v>0.15075293456543457</v>
      </c>
      <c r="H77">
        <f>1/G77</f>
        <v>6.6333700427300695</v>
      </c>
      <c r="I77">
        <v>0.85</v>
      </c>
      <c r="J77">
        <f>+H77*I77</f>
        <v>5.6383645363205588</v>
      </c>
    </row>
    <row r="79" spans="1:12" ht="13.5" thickBot="1"/>
    <row r="80" spans="1:12" ht="13.5" thickTop="1">
      <c r="A80" s="660" t="s">
        <v>203</v>
      </c>
      <c r="B80" s="661"/>
      <c r="C80" s="661"/>
      <c r="D80" s="661"/>
      <c r="E80" s="661"/>
      <c r="F80" s="661"/>
      <c r="G80" s="661"/>
      <c r="H80" s="661"/>
      <c r="I80" s="661"/>
      <c r="J80" s="661"/>
      <c r="K80" s="661"/>
      <c r="L80" s="662"/>
    </row>
    <row r="81" spans="1:12" ht="22.5">
      <c r="A81" s="642" t="s">
        <v>204</v>
      </c>
      <c r="B81" s="643"/>
      <c r="C81" s="175" t="s">
        <v>205</v>
      </c>
      <c r="D81" s="170" t="s">
        <v>207</v>
      </c>
      <c r="E81" s="170" t="s">
        <v>208</v>
      </c>
      <c r="F81" s="665" t="s">
        <v>209</v>
      </c>
      <c r="G81" s="666"/>
      <c r="H81" s="666"/>
      <c r="I81" s="666"/>
      <c r="J81" s="666"/>
      <c r="K81" s="666"/>
      <c r="L81" s="667"/>
    </row>
    <row r="82" spans="1:12" ht="34.5" thickBot="1">
      <c r="A82" s="663"/>
      <c r="B82" s="664"/>
      <c r="C82" s="176" t="s">
        <v>206</v>
      </c>
      <c r="D82" s="177" t="s">
        <v>23</v>
      </c>
      <c r="E82" s="178">
        <v>4.1666666666666664E-2</v>
      </c>
      <c r="F82" s="177" t="s">
        <v>2</v>
      </c>
      <c r="G82" s="177" t="s">
        <v>3</v>
      </c>
      <c r="H82" s="177" t="s">
        <v>210</v>
      </c>
      <c r="I82" s="177" t="s">
        <v>4</v>
      </c>
      <c r="J82" s="177" t="s">
        <v>211</v>
      </c>
      <c r="K82" s="177" t="s">
        <v>151</v>
      </c>
      <c r="L82" s="179" t="s">
        <v>128</v>
      </c>
    </row>
    <row r="83" spans="1:12" ht="15" thickTop="1">
      <c r="A83" s="648" t="s">
        <v>212</v>
      </c>
      <c r="B83" s="649"/>
      <c r="C83" s="181"/>
      <c r="D83" s="182"/>
      <c r="E83" s="182"/>
      <c r="F83" s="182"/>
      <c r="G83" s="182"/>
      <c r="H83" s="182"/>
      <c r="I83" s="182"/>
      <c r="J83" s="182"/>
      <c r="K83" s="182"/>
      <c r="L83" s="183"/>
    </row>
    <row r="84" spans="1:12" ht="33.75">
      <c r="A84" s="642" t="s">
        <v>213</v>
      </c>
      <c r="B84" s="643"/>
      <c r="C84" s="175" t="s">
        <v>195</v>
      </c>
      <c r="D84" s="170">
        <v>86</v>
      </c>
      <c r="E84" s="170" t="s">
        <v>104</v>
      </c>
      <c r="F84" s="170">
        <v>1.66</v>
      </c>
      <c r="G84" s="170">
        <v>0.35</v>
      </c>
      <c r="H84" s="170">
        <v>0.8</v>
      </c>
      <c r="I84" s="170">
        <v>0.5</v>
      </c>
      <c r="J84" s="170">
        <v>0.6</v>
      </c>
      <c r="K84" s="170">
        <v>0.12</v>
      </c>
      <c r="L84" s="171">
        <v>0.2</v>
      </c>
    </row>
    <row r="85" spans="1:12">
      <c r="A85" s="644"/>
      <c r="B85" s="645"/>
      <c r="C85" s="175" t="s">
        <v>112</v>
      </c>
      <c r="D85" s="170">
        <v>86</v>
      </c>
      <c r="E85" s="170" t="s">
        <v>104</v>
      </c>
      <c r="F85" s="170">
        <v>0.5</v>
      </c>
      <c r="G85" s="170">
        <v>0.13</v>
      </c>
      <c r="H85" s="170">
        <v>0.3</v>
      </c>
      <c r="I85" s="170">
        <v>1.1599999999999999</v>
      </c>
      <c r="J85" s="170">
        <v>1.4</v>
      </c>
      <c r="K85" s="170">
        <v>0.12</v>
      </c>
      <c r="L85" s="171">
        <v>0.2</v>
      </c>
    </row>
    <row r="86" spans="1:12" ht="22.5">
      <c r="A86" s="644"/>
      <c r="B86" s="645"/>
      <c r="C86" s="111" t="s">
        <v>196</v>
      </c>
      <c r="D86" s="173" t="s">
        <v>104</v>
      </c>
      <c r="E86" s="173">
        <v>0.8</v>
      </c>
      <c r="F86" s="173">
        <v>2.06</v>
      </c>
      <c r="G86" s="173">
        <v>0.45</v>
      </c>
      <c r="H86" s="173">
        <v>1.04</v>
      </c>
      <c r="I86" s="173">
        <v>1.43</v>
      </c>
      <c r="J86" s="173">
        <v>1.72</v>
      </c>
      <c r="K86" s="173">
        <v>0.22</v>
      </c>
      <c r="L86" s="174">
        <v>0.36</v>
      </c>
    </row>
    <row r="87" spans="1:12" ht="33.75">
      <c r="A87" s="644"/>
      <c r="B87" s="645"/>
      <c r="C87" s="175" t="s">
        <v>197</v>
      </c>
      <c r="D87" s="170">
        <v>86</v>
      </c>
      <c r="E87" s="170" t="s">
        <v>104</v>
      </c>
      <c r="F87" s="170">
        <v>1.81</v>
      </c>
      <c r="G87" s="170">
        <v>0.35</v>
      </c>
      <c r="H87" s="170">
        <v>0.8</v>
      </c>
      <c r="I87" s="170">
        <v>0.5</v>
      </c>
      <c r="J87" s="170">
        <v>0.6</v>
      </c>
      <c r="K87" s="170">
        <v>0.12</v>
      </c>
      <c r="L87" s="171">
        <v>0.2</v>
      </c>
    </row>
    <row r="88" spans="1:12">
      <c r="A88" s="644"/>
      <c r="B88" s="645"/>
      <c r="C88" s="175" t="s">
        <v>112</v>
      </c>
      <c r="D88" s="170">
        <v>86</v>
      </c>
      <c r="E88" s="170" t="s">
        <v>104</v>
      </c>
      <c r="F88" s="170">
        <v>0.5</v>
      </c>
      <c r="G88" s="170">
        <v>0.13</v>
      </c>
      <c r="H88" s="170">
        <v>0.3</v>
      </c>
      <c r="I88" s="170">
        <v>1.1599999999999999</v>
      </c>
      <c r="J88" s="170">
        <v>1.4</v>
      </c>
      <c r="K88" s="170">
        <v>0.12</v>
      </c>
      <c r="L88" s="171">
        <v>0.2</v>
      </c>
    </row>
    <row r="89" spans="1:12" ht="22.5">
      <c r="A89" s="644"/>
      <c r="B89" s="645"/>
      <c r="C89" s="111" t="s">
        <v>196</v>
      </c>
      <c r="D89" s="173" t="s">
        <v>104</v>
      </c>
      <c r="E89" s="173">
        <v>0.8</v>
      </c>
      <c r="F89" s="173">
        <v>2.21</v>
      </c>
      <c r="G89" s="173">
        <v>0.45</v>
      </c>
      <c r="H89" s="173">
        <v>1.04</v>
      </c>
      <c r="I89" s="173">
        <v>1.43</v>
      </c>
      <c r="J89" s="173">
        <v>1.72</v>
      </c>
      <c r="K89" s="173">
        <v>0.22</v>
      </c>
      <c r="L89" s="174">
        <v>0.36</v>
      </c>
    </row>
    <row r="90" spans="1:12" ht="33.75">
      <c r="A90" s="644"/>
      <c r="B90" s="645"/>
      <c r="C90" s="175" t="s">
        <v>198</v>
      </c>
      <c r="D90" s="170">
        <v>86</v>
      </c>
      <c r="E90" s="170" t="s">
        <v>104</v>
      </c>
      <c r="F90" s="170">
        <v>1.96</v>
      </c>
      <c r="G90" s="170">
        <v>0.35</v>
      </c>
      <c r="H90" s="170">
        <v>0.8</v>
      </c>
      <c r="I90" s="170">
        <v>0.5</v>
      </c>
      <c r="J90" s="170">
        <v>0.6</v>
      </c>
      <c r="K90" s="170">
        <v>0.12</v>
      </c>
      <c r="L90" s="171">
        <v>0.2</v>
      </c>
    </row>
    <row r="91" spans="1:12">
      <c r="A91" s="644"/>
      <c r="B91" s="645"/>
      <c r="C91" s="175" t="s">
        <v>112</v>
      </c>
      <c r="D91" s="170">
        <v>86</v>
      </c>
      <c r="E91" s="170" t="s">
        <v>104</v>
      </c>
      <c r="F91" s="170">
        <v>0.5</v>
      </c>
      <c r="G91" s="170">
        <v>0.13</v>
      </c>
      <c r="H91" s="170">
        <v>0.3</v>
      </c>
      <c r="I91" s="170">
        <v>1.1599999999999999</v>
      </c>
      <c r="J91" s="170">
        <v>1.4</v>
      </c>
      <c r="K91" s="170">
        <v>0.12</v>
      </c>
      <c r="L91" s="171">
        <v>0.2</v>
      </c>
    </row>
    <row r="92" spans="1:12" ht="22.5">
      <c r="A92" s="644"/>
      <c r="B92" s="645"/>
      <c r="C92" s="111" t="s">
        <v>196</v>
      </c>
      <c r="D92" s="173" t="s">
        <v>104</v>
      </c>
      <c r="E92" s="173">
        <v>0.8</v>
      </c>
      <c r="F92" s="173">
        <v>2.36</v>
      </c>
      <c r="G92" s="173">
        <v>0.45</v>
      </c>
      <c r="H92" s="173">
        <v>1.04</v>
      </c>
      <c r="I92" s="173">
        <v>1.43</v>
      </c>
      <c r="J92" s="173">
        <v>1.72</v>
      </c>
      <c r="K92" s="173">
        <v>0.22</v>
      </c>
      <c r="L92" s="174">
        <v>0.36</v>
      </c>
    </row>
    <row r="93" spans="1:12" ht="33.75">
      <c r="A93" s="644"/>
      <c r="B93" s="645"/>
      <c r="C93" s="175" t="s">
        <v>199</v>
      </c>
      <c r="D93" s="170">
        <v>86</v>
      </c>
      <c r="E93" s="170" t="s">
        <v>104</v>
      </c>
      <c r="F93" s="170">
        <v>2.11</v>
      </c>
      <c r="G93" s="170">
        <v>0.35</v>
      </c>
      <c r="H93" s="170">
        <v>0.8</v>
      </c>
      <c r="I93" s="170">
        <v>0.5</v>
      </c>
      <c r="J93" s="170">
        <v>0.6</v>
      </c>
      <c r="K93" s="170">
        <v>0.12</v>
      </c>
      <c r="L93" s="171">
        <v>0.2</v>
      </c>
    </row>
    <row r="94" spans="1:12">
      <c r="A94" s="644"/>
      <c r="B94" s="645"/>
      <c r="C94" s="175" t="s">
        <v>112</v>
      </c>
      <c r="D94" s="170">
        <v>86</v>
      </c>
      <c r="E94" s="170" t="s">
        <v>104</v>
      </c>
      <c r="F94" s="170">
        <v>0.5</v>
      </c>
      <c r="G94" s="170">
        <v>0.13</v>
      </c>
      <c r="H94" s="170">
        <v>0.3</v>
      </c>
      <c r="I94" s="170">
        <v>1.1599999999999999</v>
      </c>
      <c r="J94" s="170">
        <v>1.4</v>
      </c>
      <c r="K94" s="170">
        <v>0.12</v>
      </c>
      <c r="L94" s="171">
        <v>0.2</v>
      </c>
    </row>
    <row r="95" spans="1:12" ht="22.5">
      <c r="A95" s="644"/>
      <c r="B95" s="645"/>
      <c r="C95" s="111" t="s">
        <v>196</v>
      </c>
      <c r="D95" s="173" t="s">
        <v>104</v>
      </c>
      <c r="E95" s="173">
        <v>0.8</v>
      </c>
      <c r="F95" s="173">
        <v>2.5099999999999998</v>
      </c>
      <c r="G95" s="173">
        <v>0.45</v>
      </c>
      <c r="H95" s="173">
        <v>1.04</v>
      </c>
      <c r="I95" s="173">
        <v>1.43</v>
      </c>
      <c r="J95" s="173">
        <v>1.72</v>
      </c>
      <c r="K95" s="173">
        <v>0.22</v>
      </c>
      <c r="L95" s="174">
        <v>0.36</v>
      </c>
    </row>
    <row r="96" spans="1:12" ht="33.75">
      <c r="A96" s="644"/>
      <c r="B96" s="645"/>
      <c r="C96" s="175" t="s">
        <v>200</v>
      </c>
      <c r="D96" s="170">
        <v>86</v>
      </c>
      <c r="E96" s="170" t="s">
        <v>104</v>
      </c>
      <c r="F96" s="170">
        <v>2.2599999999999998</v>
      </c>
      <c r="G96" s="170">
        <v>0.35</v>
      </c>
      <c r="H96" s="170">
        <v>0.8</v>
      </c>
      <c r="I96" s="170">
        <v>0.5</v>
      </c>
      <c r="J96" s="170">
        <v>0.6</v>
      </c>
      <c r="K96" s="170">
        <v>0.12</v>
      </c>
      <c r="L96" s="171">
        <v>0.2</v>
      </c>
    </row>
    <row r="97" spans="1:12">
      <c r="A97" s="644"/>
      <c r="B97" s="645"/>
      <c r="C97" s="175" t="s">
        <v>112</v>
      </c>
      <c r="D97" s="170">
        <v>86</v>
      </c>
      <c r="E97" s="170" t="s">
        <v>104</v>
      </c>
      <c r="F97" s="170">
        <v>0.5</v>
      </c>
      <c r="G97" s="170">
        <v>0.13</v>
      </c>
      <c r="H97" s="170">
        <v>0.3</v>
      </c>
      <c r="I97" s="170">
        <v>1.1599999999999999</v>
      </c>
      <c r="J97" s="170">
        <v>1.4</v>
      </c>
      <c r="K97" s="170">
        <v>0.12</v>
      </c>
      <c r="L97" s="171">
        <v>0.2</v>
      </c>
    </row>
    <row r="98" spans="1:12" ht="22.5">
      <c r="A98" s="644"/>
      <c r="B98" s="645"/>
      <c r="C98" s="111" t="s">
        <v>196</v>
      </c>
      <c r="D98" s="173" t="s">
        <v>104</v>
      </c>
      <c r="E98" s="173">
        <v>0.8</v>
      </c>
      <c r="F98" s="173">
        <v>2.66</v>
      </c>
      <c r="G98" s="173">
        <v>0.45</v>
      </c>
      <c r="H98" s="173">
        <v>1.04</v>
      </c>
      <c r="I98" s="173">
        <v>1.43</v>
      </c>
      <c r="J98" s="173">
        <v>1.72</v>
      </c>
      <c r="K98" s="173">
        <v>0.22</v>
      </c>
      <c r="L98" s="174">
        <v>0.36</v>
      </c>
    </row>
    <row r="99" spans="1:12" ht="33.75">
      <c r="A99" s="644"/>
      <c r="B99" s="645"/>
      <c r="C99" s="175" t="s">
        <v>201</v>
      </c>
      <c r="D99" s="170">
        <v>86</v>
      </c>
      <c r="E99" s="170" t="s">
        <v>104</v>
      </c>
      <c r="F99" s="170">
        <v>2.41</v>
      </c>
      <c r="G99" s="170">
        <v>0.35</v>
      </c>
      <c r="H99" s="170">
        <v>0.8</v>
      </c>
      <c r="I99" s="170">
        <v>0.5</v>
      </c>
      <c r="J99" s="170">
        <v>0.6</v>
      </c>
      <c r="K99" s="170">
        <v>0.12</v>
      </c>
      <c r="L99" s="171">
        <v>0.2</v>
      </c>
    </row>
    <row r="100" spans="1:12">
      <c r="A100" s="644"/>
      <c r="B100" s="645"/>
      <c r="C100" s="175" t="s">
        <v>112</v>
      </c>
      <c r="D100" s="170">
        <v>86</v>
      </c>
      <c r="E100" s="170" t="s">
        <v>104</v>
      </c>
      <c r="F100" s="170">
        <v>0.5</v>
      </c>
      <c r="G100" s="170">
        <v>0.13</v>
      </c>
      <c r="H100" s="170">
        <v>0.3</v>
      </c>
      <c r="I100" s="170">
        <v>1.1599999999999999</v>
      </c>
      <c r="J100" s="170">
        <v>1.4</v>
      </c>
      <c r="K100" s="170">
        <v>0.12</v>
      </c>
      <c r="L100" s="171">
        <v>0.2</v>
      </c>
    </row>
    <row r="101" spans="1:12" ht="22.5">
      <c r="A101" s="644"/>
      <c r="B101" s="645"/>
      <c r="C101" s="111" t="s">
        <v>196</v>
      </c>
      <c r="D101" s="173" t="s">
        <v>104</v>
      </c>
      <c r="E101" s="173">
        <v>0.8</v>
      </c>
      <c r="F101" s="173">
        <v>2.81</v>
      </c>
      <c r="G101" s="173">
        <v>0.45</v>
      </c>
      <c r="H101" s="173">
        <v>1.04</v>
      </c>
      <c r="I101" s="173">
        <v>1.43</v>
      </c>
      <c r="J101" s="173">
        <v>1.72</v>
      </c>
      <c r="K101" s="173">
        <v>0.22</v>
      </c>
      <c r="L101" s="174">
        <v>0.36</v>
      </c>
    </row>
    <row r="102" spans="1:12" ht="22.5">
      <c r="A102" s="658"/>
      <c r="B102" s="659"/>
      <c r="C102" s="175" t="s">
        <v>202</v>
      </c>
      <c r="D102" s="170">
        <v>50</v>
      </c>
      <c r="E102" s="170" t="s">
        <v>104</v>
      </c>
      <c r="F102" s="170">
        <v>0.7</v>
      </c>
      <c r="G102" s="170">
        <v>0.15</v>
      </c>
      <c r="H102" s="170">
        <v>0.34</v>
      </c>
      <c r="I102" s="170">
        <v>0.51</v>
      </c>
      <c r="J102" s="170">
        <v>0.61</v>
      </c>
      <c r="K102" s="170">
        <v>0.13</v>
      </c>
      <c r="L102" s="171">
        <v>0.21</v>
      </c>
    </row>
    <row r="103" spans="1:12" ht="33.75">
      <c r="A103" s="642" t="s">
        <v>214</v>
      </c>
      <c r="B103" s="643"/>
      <c r="C103" s="184" t="s">
        <v>197</v>
      </c>
      <c r="D103" s="167">
        <v>86</v>
      </c>
      <c r="E103" s="167" t="s">
        <v>104</v>
      </c>
      <c r="F103" s="167">
        <v>1.65</v>
      </c>
      <c r="G103" s="167">
        <v>0.35</v>
      </c>
      <c r="H103" s="167">
        <v>0.8</v>
      </c>
      <c r="I103" s="167">
        <v>0.5</v>
      </c>
      <c r="J103" s="167">
        <v>0.6</v>
      </c>
      <c r="K103" s="167">
        <v>0.12</v>
      </c>
      <c r="L103" s="168">
        <v>0.2</v>
      </c>
    </row>
    <row r="104" spans="1:12">
      <c r="A104" s="644"/>
      <c r="B104" s="645"/>
      <c r="C104" s="175" t="s">
        <v>112</v>
      </c>
      <c r="D104" s="170">
        <v>86</v>
      </c>
      <c r="E104" s="170" t="s">
        <v>104</v>
      </c>
      <c r="F104" s="170">
        <v>0.5</v>
      </c>
      <c r="G104" s="170">
        <v>0.13</v>
      </c>
      <c r="H104" s="170">
        <v>0.3</v>
      </c>
      <c r="I104" s="170">
        <v>1.41</v>
      </c>
      <c r="J104" s="170">
        <v>1.7</v>
      </c>
      <c r="K104" s="170">
        <v>0.12</v>
      </c>
      <c r="L104" s="171">
        <v>0.2</v>
      </c>
    </row>
    <row r="105" spans="1:12" ht="22.5">
      <c r="A105" s="644"/>
      <c r="B105" s="645"/>
      <c r="C105" s="111" t="s">
        <v>196</v>
      </c>
      <c r="D105" s="173" t="s">
        <v>104</v>
      </c>
      <c r="E105" s="173">
        <v>0.7</v>
      </c>
      <c r="F105" s="173">
        <v>2</v>
      </c>
      <c r="G105" s="173">
        <v>0.44</v>
      </c>
      <c r="H105" s="173">
        <v>1.01</v>
      </c>
      <c r="I105" s="173">
        <v>1.49</v>
      </c>
      <c r="J105" s="173">
        <v>1.79</v>
      </c>
      <c r="K105" s="173">
        <v>0.2</v>
      </c>
      <c r="L105" s="174">
        <v>0.34</v>
      </c>
    </row>
    <row r="106" spans="1:12" ht="33.75">
      <c r="A106" s="644"/>
      <c r="B106" s="645"/>
      <c r="C106" s="175" t="s">
        <v>198</v>
      </c>
      <c r="D106" s="170">
        <v>86</v>
      </c>
      <c r="E106" s="170" t="s">
        <v>104</v>
      </c>
      <c r="F106" s="170">
        <v>1.79</v>
      </c>
      <c r="G106" s="170">
        <v>0.35</v>
      </c>
      <c r="H106" s="170">
        <v>0.8</v>
      </c>
      <c r="I106" s="170">
        <v>0.5</v>
      </c>
      <c r="J106" s="170">
        <v>0.6</v>
      </c>
      <c r="K106" s="170">
        <v>0.12</v>
      </c>
      <c r="L106" s="171">
        <v>0.2</v>
      </c>
    </row>
    <row r="107" spans="1:12">
      <c r="A107" s="644"/>
      <c r="B107" s="645"/>
      <c r="C107" s="175" t="s">
        <v>112</v>
      </c>
      <c r="D107" s="170">
        <v>86</v>
      </c>
      <c r="E107" s="170" t="s">
        <v>104</v>
      </c>
      <c r="F107" s="170">
        <v>0.5</v>
      </c>
      <c r="G107" s="170">
        <v>0.13</v>
      </c>
      <c r="H107" s="170">
        <v>0.3</v>
      </c>
      <c r="I107" s="170">
        <v>1.41</v>
      </c>
      <c r="J107" s="170">
        <v>1.7</v>
      </c>
      <c r="K107" s="170">
        <v>0.12</v>
      </c>
      <c r="L107" s="171">
        <v>0.2</v>
      </c>
    </row>
    <row r="108" spans="1:12" ht="22.5">
      <c r="A108" s="644"/>
      <c r="B108" s="645"/>
      <c r="C108" s="111" t="s">
        <v>196</v>
      </c>
      <c r="D108" s="173" t="s">
        <v>104</v>
      </c>
      <c r="E108" s="173">
        <v>0.7</v>
      </c>
      <c r="F108" s="173">
        <v>2.14</v>
      </c>
      <c r="G108" s="173">
        <v>0.44</v>
      </c>
      <c r="H108" s="173">
        <v>1.01</v>
      </c>
      <c r="I108" s="173">
        <v>1.49</v>
      </c>
      <c r="J108" s="173">
        <v>1.79</v>
      </c>
      <c r="K108" s="173">
        <v>0.2</v>
      </c>
      <c r="L108" s="174">
        <v>0.34</v>
      </c>
    </row>
    <row r="109" spans="1:12" ht="22.5">
      <c r="A109" s="658"/>
      <c r="B109" s="659"/>
      <c r="C109" s="175" t="s">
        <v>202</v>
      </c>
      <c r="D109" s="170">
        <v>50</v>
      </c>
      <c r="E109" s="170" t="s">
        <v>104</v>
      </c>
      <c r="F109" s="170">
        <v>0.67</v>
      </c>
      <c r="G109" s="170">
        <v>0.15</v>
      </c>
      <c r="H109" s="170">
        <v>0.34</v>
      </c>
      <c r="I109" s="170">
        <v>0.57999999999999996</v>
      </c>
      <c r="J109" s="170">
        <v>0.7</v>
      </c>
      <c r="K109" s="170">
        <v>0.13</v>
      </c>
      <c r="L109" s="171">
        <v>0.21</v>
      </c>
    </row>
    <row r="110" spans="1:12" ht="33.75">
      <c r="A110" s="642" t="s">
        <v>215</v>
      </c>
      <c r="B110" s="643"/>
      <c r="C110" s="184" t="s">
        <v>195</v>
      </c>
      <c r="D110" s="167">
        <v>86</v>
      </c>
      <c r="E110" s="167" t="s">
        <v>104</v>
      </c>
      <c r="F110" s="167">
        <v>1.51</v>
      </c>
      <c r="G110" s="167">
        <v>0.35</v>
      </c>
      <c r="H110" s="167">
        <v>0.8</v>
      </c>
      <c r="I110" s="167">
        <v>0.5</v>
      </c>
      <c r="J110" s="167">
        <v>0.6</v>
      </c>
      <c r="K110" s="167">
        <v>0.12</v>
      </c>
      <c r="L110" s="168">
        <v>0.2</v>
      </c>
    </row>
    <row r="111" spans="1:12">
      <c r="A111" s="644"/>
      <c r="B111" s="645"/>
      <c r="C111" s="175" t="s">
        <v>112</v>
      </c>
      <c r="D111" s="170">
        <v>86</v>
      </c>
      <c r="E111" s="170" t="s">
        <v>104</v>
      </c>
      <c r="F111" s="170">
        <v>0.5</v>
      </c>
      <c r="G111" s="170">
        <v>0.13</v>
      </c>
      <c r="H111" s="170">
        <v>0.3</v>
      </c>
      <c r="I111" s="170">
        <v>1.66</v>
      </c>
      <c r="J111" s="170">
        <v>2</v>
      </c>
      <c r="K111" s="170">
        <v>0.12</v>
      </c>
      <c r="L111" s="171">
        <v>0.2</v>
      </c>
    </row>
    <row r="112" spans="1:12" ht="22.5">
      <c r="A112" s="644"/>
      <c r="B112" s="645"/>
      <c r="C112" s="111" t="s">
        <v>196</v>
      </c>
      <c r="D112" s="173" t="s">
        <v>104</v>
      </c>
      <c r="E112" s="173">
        <v>0.9</v>
      </c>
      <c r="F112" s="173">
        <v>1.96</v>
      </c>
      <c r="G112" s="173">
        <v>0.47</v>
      </c>
      <c r="H112" s="173">
        <v>1.07</v>
      </c>
      <c r="I112" s="173">
        <v>1.99</v>
      </c>
      <c r="J112" s="173">
        <v>2.4</v>
      </c>
      <c r="K112" s="173">
        <v>0.23</v>
      </c>
      <c r="L112" s="174">
        <v>0.38</v>
      </c>
    </row>
    <row r="113" spans="1:12" ht="33.75">
      <c r="A113" s="644"/>
      <c r="B113" s="645"/>
      <c r="C113" s="175" t="s">
        <v>197</v>
      </c>
      <c r="D113" s="170">
        <v>86</v>
      </c>
      <c r="E113" s="170" t="s">
        <v>104</v>
      </c>
      <c r="F113" s="170">
        <v>1.65</v>
      </c>
      <c r="G113" s="170">
        <v>0.35</v>
      </c>
      <c r="H113" s="170">
        <v>0.8</v>
      </c>
      <c r="I113" s="170">
        <v>0.5</v>
      </c>
      <c r="J113" s="170">
        <v>0.6</v>
      </c>
      <c r="K113" s="170">
        <v>0.12</v>
      </c>
      <c r="L113" s="171">
        <v>0.2</v>
      </c>
    </row>
    <row r="114" spans="1:12">
      <c r="A114" s="644"/>
      <c r="B114" s="645"/>
      <c r="C114" s="175" t="s">
        <v>112</v>
      </c>
      <c r="D114" s="170">
        <v>86</v>
      </c>
      <c r="E114" s="170" t="s">
        <v>104</v>
      </c>
      <c r="F114" s="170">
        <v>0.5</v>
      </c>
      <c r="G114" s="170">
        <v>0.13</v>
      </c>
      <c r="H114" s="170">
        <v>0.3</v>
      </c>
      <c r="I114" s="170">
        <v>1.66</v>
      </c>
      <c r="J114" s="170">
        <v>2</v>
      </c>
      <c r="K114" s="170">
        <v>0.12</v>
      </c>
      <c r="L114" s="171">
        <v>0.2</v>
      </c>
    </row>
    <row r="115" spans="1:12" ht="22.5">
      <c r="A115" s="646"/>
      <c r="B115" s="647"/>
      <c r="C115" s="111" t="s">
        <v>196</v>
      </c>
      <c r="D115" s="173" t="s">
        <v>104</v>
      </c>
      <c r="E115" s="173">
        <v>0.9</v>
      </c>
      <c r="F115" s="173">
        <v>2.1</v>
      </c>
      <c r="G115" s="173">
        <v>0.47</v>
      </c>
      <c r="H115" s="173">
        <v>1.07</v>
      </c>
      <c r="I115" s="173">
        <v>1.99</v>
      </c>
      <c r="J115" s="173">
        <v>2.4</v>
      </c>
      <c r="K115" s="173">
        <v>0.23</v>
      </c>
      <c r="L115" s="174">
        <v>0.38</v>
      </c>
    </row>
    <row r="116" spans="1:12" ht="33.75">
      <c r="A116" s="642" t="s">
        <v>216</v>
      </c>
      <c r="B116" s="643"/>
      <c r="C116" s="175" t="s">
        <v>197</v>
      </c>
      <c r="D116" s="170">
        <v>86</v>
      </c>
      <c r="E116" s="170" t="s">
        <v>104</v>
      </c>
      <c r="F116" s="170">
        <v>1.65</v>
      </c>
      <c r="G116" s="170">
        <v>0.35</v>
      </c>
      <c r="H116" s="170">
        <v>0.8</v>
      </c>
      <c r="I116" s="170">
        <v>0.5</v>
      </c>
      <c r="J116" s="170">
        <v>0.6</v>
      </c>
      <c r="K116" s="170">
        <v>0.12</v>
      </c>
      <c r="L116" s="171">
        <v>0.2</v>
      </c>
    </row>
    <row r="117" spans="1:12">
      <c r="A117" s="644"/>
      <c r="B117" s="645"/>
      <c r="C117" s="175" t="s">
        <v>112</v>
      </c>
      <c r="D117" s="170">
        <v>86</v>
      </c>
      <c r="E117" s="170" t="s">
        <v>104</v>
      </c>
      <c r="F117" s="170">
        <v>0.5</v>
      </c>
      <c r="G117" s="170">
        <v>0.13</v>
      </c>
      <c r="H117" s="170">
        <v>0.3</v>
      </c>
      <c r="I117" s="170">
        <v>1.41</v>
      </c>
      <c r="J117" s="170">
        <v>1.7</v>
      </c>
      <c r="K117" s="170">
        <v>0.12</v>
      </c>
      <c r="L117" s="171">
        <v>0.2</v>
      </c>
    </row>
    <row r="118" spans="1:12" ht="22.5">
      <c r="A118" s="644"/>
      <c r="B118" s="645"/>
      <c r="C118" s="111" t="s">
        <v>196</v>
      </c>
      <c r="D118" s="173" t="s">
        <v>104</v>
      </c>
      <c r="E118" s="173">
        <v>0.9</v>
      </c>
      <c r="F118" s="173">
        <v>2.1</v>
      </c>
      <c r="G118" s="173">
        <v>0.47</v>
      </c>
      <c r="H118" s="173">
        <v>1.07</v>
      </c>
      <c r="I118" s="173">
        <v>1.77</v>
      </c>
      <c r="J118" s="173">
        <v>2.13</v>
      </c>
      <c r="K118" s="173">
        <v>0.23</v>
      </c>
      <c r="L118" s="174">
        <v>0.38</v>
      </c>
    </row>
    <row r="119" spans="1:12" ht="33.75">
      <c r="A119" s="644"/>
      <c r="B119" s="645"/>
      <c r="C119" s="175" t="s">
        <v>198</v>
      </c>
      <c r="D119" s="170">
        <v>86</v>
      </c>
      <c r="E119" s="170" t="s">
        <v>104</v>
      </c>
      <c r="F119" s="170">
        <v>1.79</v>
      </c>
      <c r="G119" s="170">
        <v>0.35</v>
      </c>
      <c r="H119" s="170">
        <v>0.8</v>
      </c>
      <c r="I119" s="170">
        <v>0.5</v>
      </c>
      <c r="J119" s="170">
        <v>0.6</v>
      </c>
      <c r="K119" s="170">
        <v>0.12</v>
      </c>
      <c r="L119" s="171">
        <v>0.2</v>
      </c>
    </row>
    <row r="120" spans="1:12">
      <c r="A120" s="644"/>
      <c r="B120" s="645"/>
      <c r="C120" s="175" t="s">
        <v>112</v>
      </c>
      <c r="D120" s="170">
        <v>86</v>
      </c>
      <c r="E120" s="170" t="s">
        <v>104</v>
      </c>
      <c r="F120" s="170">
        <v>0.5</v>
      </c>
      <c r="G120" s="170">
        <v>0.13</v>
      </c>
      <c r="H120" s="170">
        <v>0.3</v>
      </c>
      <c r="I120" s="170">
        <v>1.41</v>
      </c>
      <c r="J120" s="170">
        <v>1.7</v>
      </c>
      <c r="K120" s="170">
        <v>0.12</v>
      </c>
      <c r="L120" s="171">
        <v>0.2</v>
      </c>
    </row>
    <row r="121" spans="1:12" ht="22.5">
      <c r="A121" s="646"/>
      <c r="B121" s="647"/>
      <c r="C121" s="111" t="s">
        <v>196</v>
      </c>
      <c r="D121" s="173" t="s">
        <v>104</v>
      </c>
      <c r="E121" s="173">
        <v>0.9</v>
      </c>
      <c r="F121" s="173">
        <v>2.2400000000000002</v>
      </c>
      <c r="G121" s="173">
        <v>0.47</v>
      </c>
      <c r="H121" s="173">
        <v>1.07</v>
      </c>
      <c r="I121" s="173">
        <v>1.77</v>
      </c>
      <c r="J121" s="173">
        <v>2.13</v>
      </c>
      <c r="K121" s="173">
        <v>0.23</v>
      </c>
      <c r="L121" s="174">
        <v>0.38</v>
      </c>
    </row>
    <row r="122" spans="1:12" ht="33.75">
      <c r="A122" s="642" t="s">
        <v>217</v>
      </c>
      <c r="B122" s="643"/>
      <c r="C122" s="175" t="s">
        <v>199</v>
      </c>
      <c r="D122" s="170">
        <v>86</v>
      </c>
      <c r="E122" s="170" t="s">
        <v>104</v>
      </c>
      <c r="F122" s="170">
        <v>2.11</v>
      </c>
      <c r="G122" s="170">
        <v>0.44</v>
      </c>
      <c r="H122" s="170">
        <v>1</v>
      </c>
      <c r="I122" s="170">
        <v>0.39</v>
      </c>
      <c r="J122" s="170">
        <v>0.47</v>
      </c>
      <c r="K122" s="170">
        <v>0.1</v>
      </c>
      <c r="L122" s="171">
        <v>0.17</v>
      </c>
    </row>
    <row r="123" spans="1:12" ht="14.25">
      <c r="A123" s="656"/>
      <c r="B123" s="657"/>
      <c r="C123" s="175" t="s">
        <v>112</v>
      </c>
      <c r="D123" s="170">
        <v>86</v>
      </c>
      <c r="E123" s="170" t="s">
        <v>104</v>
      </c>
      <c r="F123" s="170">
        <v>0.5</v>
      </c>
      <c r="G123" s="170">
        <v>0.13</v>
      </c>
      <c r="H123" s="170">
        <v>0.3</v>
      </c>
      <c r="I123" s="170">
        <v>1.4</v>
      </c>
      <c r="J123" s="170">
        <v>1.7</v>
      </c>
      <c r="K123" s="170">
        <v>0.12</v>
      </c>
      <c r="L123" s="171">
        <v>0.2</v>
      </c>
    </row>
    <row r="124" spans="1:12" ht="22.5">
      <c r="A124" s="656"/>
      <c r="B124" s="657"/>
      <c r="C124" s="111" t="s">
        <v>196</v>
      </c>
      <c r="D124" s="173" t="s">
        <v>104</v>
      </c>
      <c r="E124" s="173">
        <v>0.8</v>
      </c>
      <c r="F124" s="173">
        <v>2.5099999999999998</v>
      </c>
      <c r="G124" s="173">
        <v>0.54</v>
      </c>
      <c r="H124" s="173">
        <v>1.24</v>
      </c>
      <c r="I124" s="173">
        <v>1.52</v>
      </c>
      <c r="J124" s="173">
        <v>1.83</v>
      </c>
      <c r="K124" s="173">
        <v>0.2</v>
      </c>
      <c r="L124" s="174">
        <v>0.33</v>
      </c>
    </row>
    <row r="125" spans="1:12" ht="33.75">
      <c r="A125" s="656"/>
      <c r="B125" s="657"/>
      <c r="C125" s="175" t="s">
        <v>200</v>
      </c>
      <c r="D125" s="170">
        <v>86</v>
      </c>
      <c r="E125" s="170" t="s">
        <v>104</v>
      </c>
      <c r="F125" s="170">
        <v>2.2599999999999998</v>
      </c>
      <c r="G125" s="170">
        <v>0.44</v>
      </c>
      <c r="H125" s="170">
        <v>1</v>
      </c>
      <c r="I125" s="170">
        <v>0.39</v>
      </c>
      <c r="J125" s="170">
        <v>0.47</v>
      </c>
      <c r="K125" s="170">
        <v>0.1</v>
      </c>
      <c r="L125" s="171">
        <v>0.17</v>
      </c>
    </row>
    <row r="126" spans="1:12" ht="14.25">
      <c r="A126" s="656"/>
      <c r="B126" s="657"/>
      <c r="C126" s="175" t="s">
        <v>112</v>
      </c>
      <c r="D126" s="170">
        <v>86</v>
      </c>
      <c r="E126" s="170" t="s">
        <v>104</v>
      </c>
      <c r="F126" s="170">
        <v>0.5</v>
      </c>
      <c r="G126" s="170">
        <v>0.13</v>
      </c>
      <c r="H126" s="170">
        <v>0.3</v>
      </c>
      <c r="I126" s="170">
        <v>1.4</v>
      </c>
      <c r="J126" s="170">
        <v>1.7</v>
      </c>
      <c r="K126" s="170">
        <v>0.12</v>
      </c>
      <c r="L126" s="171">
        <v>0.2</v>
      </c>
    </row>
    <row r="127" spans="1:12" ht="22.5">
      <c r="A127" s="656"/>
      <c r="B127" s="657"/>
      <c r="C127" s="111" t="s">
        <v>196</v>
      </c>
      <c r="D127" s="173" t="s">
        <v>104</v>
      </c>
      <c r="E127" s="173">
        <v>0.8</v>
      </c>
      <c r="F127" s="173">
        <v>2.66</v>
      </c>
      <c r="G127" s="173">
        <v>0.54</v>
      </c>
      <c r="H127" s="173">
        <v>1.24</v>
      </c>
      <c r="I127" s="173">
        <v>1.52</v>
      </c>
      <c r="J127" s="173">
        <v>1.83</v>
      </c>
      <c r="K127" s="173">
        <v>0.2</v>
      </c>
      <c r="L127" s="174">
        <v>0.33</v>
      </c>
    </row>
    <row r="128" spans="1:12" ht="33.75">
      <c r="A128" s="656"/>
      <c r="B128" s="657"/>
      <c r="C128" s="175" t="s">
        <v>201</v>
      </c>
      <c r="D128" s="170">
        <v>86</v>
      </c>
      <c r="E128" s="170" t="s">
        <v>104</v>
      </c>
      <c r="F128" s="170">
        <v>2.41</v>
      </c>
      <c r="G128" s="170">
        <v>0.44</v>
      </c>
      <c r="H128" s="170">
        <v>1</v>
      </c>
      <c r="I128" s="170">
        <v>0.39</v>
      </c>
      <c r="J128" s="170">
        <v>0.47</v>
      </c>
      <c r="K128" s="170">
        <v>0.1</v>
      </c>
      <c r="L128" s="171">
        <v>0.17</v>
      </c>
    </row>
    <row r="129" spans="1:12">
      <c r="A129" s="656"/>
      <c r="B129" s="657"/>
      <c r="C129" s="175" t="s">
        <v>112</v>
      </c>
      <c r="D129" s="170">
        <v>86</v>
      </c>
      <c r="E129" s="170" t="s">
        <v>104</v>
      </c>
      <c r="F129" s="170">
        <v>0.5</v>
      </c>
      <c r="G129" s="170">
        <v>0.13</v>
      </c>
      <c r="H129" s="170">
        <v>0.3</v>
      </c>
      <c r="I129" s="170">
        <v>1.4</v>
      </c>
      <c r="J129" s="170">
        <v>1.7</v>
      </c>
      <c r="K129" s="170">
        <v>0.12</v>
      </c>
      <c r="L129" s="171">
        <v>0.2</v>
      </c>
    </row>
    <row r="130" spans="1:12" ht="22.5">
      <c r="A130" s="658"/>
      <c r="B130" s="659"/>
      <c r="C130" s="111" t="s">
        <v>196</v>
      </c>
      <c r="D130" s="173" t="s">
        <v>104</v>
      </c>
      <c r="E130" s="173">
        <v>0.8</v>
      </c>
      <c r="F130" s="173">
        <v>2.81</v>
      </c>
      <c r="G130" s="173">
        <v>0.54</v>
      </c>
      <c r="H130" s="173">
        <v>1.24</v>
      </c>
      <c r="I130" s="173">
        <v>1.52</v>
      </c>
      <c r="J130" s="173">
        <v>1.83</v>
      </c>
      <c r="K130" s="173">
        <v>0.2</v>
      </c>
      <c r="L130" s="174">
        <v>0.33</v>
      </c>
    </row>
    <row r="131" spans="1:12" ht="33.75">
      <c r="A131" s="642" t="s">
        <v>218</v>
      </c>
      <c r="B131" s="643"/>
      <c r="C131" s="175" t="s">
        <v>198</v>
      </c>
      <c r="D131" s="170">
        <v>86</v>
      </c>
      <c r="E131" s="170" t="s">
        <v>104</v>
      </c>
      <c r="F131" s="170">
        <v>2.1</v>
      </c>
      <c r="G131" s="170">
        <v>0.35</v>
      </c>
      <c r="H131" s="170">
        <v>0.8</v>
      </c>
      <c r="I131" s="170">
        <v>0.34</v>
      </c>
      <c r="J131" s="170">
        <v>0.4</v>
      </c>
      <c r="K131" s="170">
        <v>0.08</v>
      </c>
      <c r="L131" s="171">
        <v>0.13</v>
      </c>
    </row>
    <row r="132" spans="1:12">
      <c r="A132" s="644"/>
      <c r="B132" s="645"/>
      <c r="C132" s="175" t="s">
        <v>112</v>
      </c>
      <c r="D132" s="170">
        <v>86</v>
      </c>
      <c r="E132" s="170" t="s">
        <v>104</v>
      </c>
      <c r="F132" s="170">
        <v>0.5</v>
      </c>
      <c r="G132" s="170">
        <v>0.13</v>
      </c>
      <c r="H132" s="170">
        <v>0.3</v>
      </c>
      <c r="I132" s="170">
        <v>1.1599999999999999</v>
      </c>
      <c r="J132" s="170">
        <v>1.4</v>
      </c>
      <c r="K132" s="170">
        <v>0.12</v>
      </c>
      <c r="L132" s="171">
        <v>0.2</v>
      </c>
    </row>
    <row r="133" spans="1:12" ht="22.5">
      <c r="A133" s="646"/>
      <c r="B133" s="647"/>
      <c r="C133" s="111" t="s">
        <v>196</v>
      </c>
      <c r="D133" s="173" t="s">
        <v>104</v>
      </c>
      <c r="E133" s="173">
        <v>1</v>
      </c>
      <c r="F133" s="173">
        <v>2.6</v>
      </c>
      <c r="G133" s="173">
        <v>0.48</v>
      </c>
      <c r="H133" s="173">
        <v>1.1000000000000001</v>
      </c>
      <c r="I133" s="173">
        <v>1.5</v>
      </c>
      <c r="J133" s="173">
        <v>1.8</v>
      </c>
      <c r="K133" s="173">
        <v>0.2</v>
      </c>
      <c r="L133" s="174">
        <v>0.33</v>
      </c>
    </row>
    <row r="134" spans="1:12" ht="33.75">
      <c r="A134" s="642" t="s">
        <v>219</v>
      </c>
      <c r="B134" s="643"/>
      <c r="C134" s="175" t="s">
        <v>199</v>
      </c>
      <c r="D134" s="170">
        <v>86</v>
      </c>
      <c r="E134" s="170" t="s">
        <v>104</v>
      </c>
      <c r="F134" s="170">
        <v>2.11</v>
      </c>
      <c r="G134" s="170">
        <v>0.35</v>
      </c>
      <c r="H134" s="170">
        <v>0.8</v>
      </c>
      <c r="I134" s="170">
        <v>0.5</v>
      </c>
      <c r="J134" s="170">
        <v>0.6</v>
      </c>
      <c r="K134" s="170">
        <v>0.1</v>
      </c>
      <c r="L134" s="171">
        <v>0.17</v>
      </c>
    </row>
    <row r="135" spans="1:12">
      <c r="A135" s="644"/>
      <c r="B135" s="645"/>
      <c r="C135" s="175" t="s">
        <v>112</v>
      </c>
      <c r="D135" s="170">
        <v>86</v>
      </c>
      <c r="E135" s="170" t="s">
        <v>104</v>
      </c>
      <c r="F135" s="170">
        <v>0.5</v>
      </c>
      <c r="G135" s="170">
        <v>0.13</v>
      </c>
      <c r="H135" s="170">
        <v>0.3</v>
      </c>
      <c r="I135" s="170">
        <v>1.4</v>
      </c>
      <c r="J135" s="170">
        <v>1.7</v>
      </c>
      <c r="K135" s="170">
        <v>0.12</v>
      </c>
      <c r="L135" s="171">
        <v>0.2</v>
      </c>
    </row>
    <row r="136" spans="1:12" ht="22.5">
      <c r="A136" s="646"/>
      <c r="B136" s="647"/>
      <c r="C136" s="111" t="s">
        <v>196</v>
      </c>
      <c r="D136" s="173" t="s">
        <v>104</v>
      </c>
      <c r="E136" s="173">
        <v>0.8</v>
      </c>
      <c r="F136" s="173">
        <v>2.5099999999999998</v>
      </c>
      <c r="G136" s="173">
        <v>0.45</v>
      </c>
      <c r="H136" s="173">
        <v>1.03</v>
      </c>
      <c r="I136" s="173">
        <v>1.62</v>
      </c>
      <c r="J136" s="173">
        <v>1.94</v>
      </c>
      <c r="K136" s="173">
        <v>0.2</v>
      </c>
      <c r="L136" s="174">
        <v>0.33</v>
      </c>
    </row>
    <row r="137" spans="1:12" ht="33.75">
      <c r="A137" s="642" t="s">
        <v>220</v>
      </c>
      <c r="B137" s="643"/>
      <c r="C137" s="175" t="s">
        <v>197</v>
      </c>
      <c r="D137" s="170">
        <v>86</v>
      </c>
      <c r="E137" s="170" t="s">
        <v>104</v>
      </c>
      <c r="F137" s="170">
        <v>1.65</v>
      </c>
      <c r="G137" s="170">
        <v>0.35</v>
      </c>
      <c r="H137" s="170">
        <v>0.8</v>
      </c>
      <c r="I137" s="170">
        <v>0.5</v>
      </c>
      <c r="J137" s="170">
        <v>0.6</v>
      </c>
      <c r="K137" s="170">
        <v>0.12</v>
      </c>
      <c r="L137" s="171">
        <v>0.2</v>
      </c>
    </row>
    <row r="138" spans="1:12">
      <c r="A138" s="644"/>
      <c r="B138" s="645"/>
      <c r="C138" s="175" t="s">
        <v>112</v>
      </c>
      <c r="D138" s="170">
        <v>86</v>
      </c>
      <c r="E138" s="170" t="s">
        <v>104</v>
      </c>
      <c r="F138" s="170">
        <v>0.5</v>
      </c>
      <c r="G138" s="170">
        <v>0.13</v>
      </c>
      <c r="H138" s="170">
        <v>0.3</v>
      </c>
      <c r="I138" s="170">
        <v>1.41</v>
      </c>
      <c r="J138" s="170">
        <v>1.7</v>
      </c>
      <c r="K138" s="170">
        <v>0.12</v>
      </c>
      <c r="L138" s="171">
        <v>0.2</v>
      </c>
    </row>
    <row r="139" spans="1:12" ht="22.5">
      <c r="A139" s="646"/>
      <c r="B139" s="647"/>
      <c r="C139" s="111" t="s">
        <v>196</v>
      </c>
      <c r="D139" s="173" t="s">
        <v>104</v>
      </c>
      <c r="E139" s="173">
        <v>0.8</v>
      </c>
      <c r="F139" s="173">
        <v>2.0499999999999998</v>
      </c>
      <c r="G139" s="173">
        <v>0.45</v>
      </c>
      <c r="H139" s="173">
        <v>1.04</v>
      </c>
      <c r="I139" s="173">
        <v>1.63</v>
      </c>
      <c r="J139" s="173">
        <v>1.96</v>
      </c>
      <c r="K139" s="173">
        <v>0.22</v>
      </c>
      <c r="L139" s="174">
        <v>0.36</v>
      </c>
    </row>
    <row r="140" spans="1:12" ht="33.75">
      <c r="A140" s="642" t="s">
        <v>220</v>
      </c>
      <c r="B140" s="643"/>
      <c r="C140" s="175" t="s">
        <v>198</v>
      </c>
      <c r="D140" s="170">
        <v>86</v>
      </c>
      <c r="E140" s="170" t="s">
        <v>104</v>
      </c>
      <c r="F140" s="170">
        <v>1.79</v>
      </c>
      <c r="G140" s="170">
        <v>0.35</v>
      </c>
      <c r="H140" s="170">
        <v>0.8</v>
      </c>
      <c r="I140" s="170">
        <v>0.5</v>
      </c>
      <c r="J140" s="170">
        <v>0.6</v>
      </c>
      <c r="K140" s="170">
        <v>0.12</v>
      </c>
      <c r="L140" s="171">
        <v>0.2</v>
      </c>
    </row>
    <row r="141" spans="1:12">
      <c r="A141" s="644"/>
      <c r="B141" s="645"/>
      <c r="C141" s="175" t="s">
        <v>112</v>
      </c>
      <c r="D141" s="170">
        <v>86</v>
      </c>
      <c r="E141" s="170" t="s">
        <v>104</v>
      </c>
      <c r="F141" s="170">
        <v>0.5</v>
      </c>
      <c r="G141" s="170">
        <v>0.13</v>
      </c>
      <c r="H141" s="170">
        <v>0.3</v>
      </c>
      <c r="I141" s="170">
        <v>1.41</v>
      </c>
      <c r="J141" s="170">
        <v>1.7</v>
      </c>
      <c r="K141" s="170">
        <v>0.12</v>
      </c>
      <c r="L141" s="171">
        <v>0.2</v>
      </c>
    </row>
    <row r="142" spans="1:12" ht="22.5">
      <c r="A142" s="646"/>
      <c r="B142" s="647"/>
      <c r="C142" s="111" t="s">
        <v>196</v>
      </c>
      <c r="D142" s="173" t="s">
        <v>104</v>
      </c>
      <c r="E142" s="173">
        <v>0.8</v>
      </c>
      <c r="F142" s="173">
        <v>2.19</v>
      </c>
      <c r="G142" s="173">
        <v>0.45</v>
      </c>
      <c r="H142" s="173">
        <v>1.04</v>
      </c>
      <c r="I142" s="173">
        <v>1.63</v>
      </c>
      <c r="J142" s="173">
        <v>1.96</v>
      </c>
      <c r="K142" s="173">
        <v>0.22</v>
      </c>
      <c r="L142" s="174">
        <v>0.36</v>
      </c>
    </row>
    <row r="143" spans="1:12" ht="33.75">
      <c r="A143" s="642" t="s">
        <v>221</v>
      </c>
      <c r="B143" s="643"/>
      <c r="C143" s="175" t="s">
        <v>222</v>
      </c>
      <c r="D143" s="170">
        <v>86</v>
      </c>
      <c r="E143" s="170" t="s">
        <v>104</v>
      </c>
      <c r="F143" s="170">
        <v>1.38</v>
      </c>
      <c r="G143" s="170">
        <v>0.35</v>
      </c>
      <c r="H143" s="170">
        <v>0.8</v>
      </c>
      <c r="I143" s="170">
        <v>0.5</v>
      </c>
      <c r="J143" s="170">
        <v>0.6</v>
      </c>
      <c r="K143" s="170">
        <v>0.12</v>
      </c>
      <c r="L143" s="171">
        <v>0.2</v>
      </c>
    </row>
    <row r="144" spans="1:12">
      <c r="A144" s="644"/>
      <c r="B144" s="645"/>
      <c r="C144" s="175" t="s">
        <v>112</v>
      </c>
      <c r="D144" s="170">
        <v>86</v>
      </c>
      <c r="E144" s="170" t="s">
        <v>104</v>
      </c>
      <c r="F144" s="170">
        <v>0.5</v>
      </c>
      <c r="G144" s="170">
        <v>0.13</v>
      </c>
      <c r="H144" s="170">
        <v>0.3</v>
      </c>
      <c r="I144" s="170">
        <v>1.41</v>
      </c>
      <c r="J144" s="170">
        <v>1.7</v>
      </c>
      <c r="K144" s="170">
        <v>0.12</v>
      </c>
      <c r="L144" s="171">
        <v>0.2</v>
      </c>
    </row>
    <row r="145" spans="1:12" ht="22.5">
      <c r="A145" s="644"/>
      <c r="B145" s="645"/>
      <c r="C145" s="111" t="s">
        <v>196</v>
      </c>
      <c r="D145" s="173" t="s">
        <v>104</v>
      </c>
      <c r="E145" s="173">
        <v>0.7</v>
      </c>
      <c r="F145" s="173">
        <v>1.73</v>
      </c>
      <c r="G145" s="173">
        <v>0.44</v>
      </c>
      <c r="H145" s="173">
        <v>1.01</v>
      </c>
      <c r="I145" s="173">
        <v>1.49</v>
      </c>
      <c r="J145" s="173">
        <v>1.79</v>
      </c>
      <c r="K145" s="173">
        <v>0.21</v>
      </c>
      <c r="L145" s="174">
        <v>0.34</v>
      </c>
    </row>
    <row r="146" spans="1:12" ht="33.75">
      <c r="A146" s="644"/>
      <c r="B146" s="645"/>
      <c r="C146" s="175" t="s">
        <v>195</v>
      </c>
      <c r="D146" s="170">
        <v>86</v>
      </c>
      <c r="E146" s="170" t="s">
        <v>104</v>
      </c>
      <c r="F146" s="170">
        <v>1.51</v>
      </c>
      <c r="G146" s="170">
        <v>0.35</v>
      </c>
      <c r="H146" s="170">
        <v>0.8</v>
      </c>
      <c r="I146" s="170">
        <v>0.5</v>
      </c>
      <c r="J146" s="170">
        <v>0.6</v>
      </c>
      <c r="K146" s="170">
        <v>0.12</v>
      </c>
      <c r="L146" s="171">
        <v>0.2</v>
      </c>
    </row>
    <row r="147" spans="1:12">
      <c r="A147" s="644"/>
      <c r="B147" s="645"/>
      <c r="C147" s="175" t="s">
        <v>112</v>
      </c>
      <c r="D147" s="170">
        <v>86</v>
      </c>
      <c r="E147" s="170" t="s">
        <v>104</v>
      </c>
      <c r="F147" s="170">
        <v>0.5</v>
      </c>
      <c r="G147" s="170">
        <v>0.13</v>
      </c>
      <c r="H147" s="170">
        <v>0.3</v>
      </c>
      <c r="I147" s="170">
        <v>1.41</v>
      </c>
      <c r="J147" s="170">
        <v>1.7</v>
      </c>
      <c r="K147" s="170">
        <v>0.12</v>
      </c>
      <c r="L147" s="171">
        <v>0.2</v>
      </c>
    </row>
    <row r="148" spans="1:12" ht="22.5">
      <c r="A148" s="646"/>
      <c r="B148" s="647"/>
      <c r="C148" s="111" t="s">
        <v>196</v>
      </c>
      <c r="D148" s="173" t="s">
        <v>104</v>
      </c>
      <c r="E148" s="173">
        <v>0.7</v>
      </c>
      <c r="F148" s="173">
        <v>1.86</v>
      </c>
      <c r="G148" s="173">
        <v>0.44</v>
      </c>
      <c r="H148" s="173">
        <v>1.01</v>
      </c>
      <c r="I148" s="173">
        <v>1.49</v>
      </c>
      <c r="J148" s="173">
        <v>1.79</v>
      </c>
      <c r="K148" s="173">
        <v>0.21</v>
      </c>
      <c r="L148" s="174">
        <v>0.34</v>
      </c>
    </row>
    <row r="149" spans="1:12" ht="33.75">
      <c r="A149" s="642" t="s">
        <v>223</v>
      </c>
      <c r="B149" s="643"/>
      <c r="C149" s="175" t="s">
        <v>195</v>
      </c>
      <c r="D149" s="170">
        <v>86</v>
      </c>
      <c r="E149" s="170" t="s">
        <v>104</v>
      </c>
      <c r="F149" s="170">
        <v>1.51</v>
      </c>
      <c r="G149" s="170">
        <v>0.35</v>
      </c>
      <c r="H149" s="170">
        <v>0.8</v>
      </c>
      <c r="I149" s="170">
        <v>0.5</v>
      </c>
      <c r="J149" s="170">
        <v>0.6</v>
      </c>
      <c r="K149" s="170">
        <v>0.12</v>
      </c>
      <c r="L149" s="171">
        <v>0.2</v>
      </c>
    </row>
    <row r="150" spans="1:12">
      <c r="A150" s="644"/>
      <c r="B150" s="645"/>
      <c r="C150" s="175" t="s">
        <v>112</v>
      </c>
      <c r="D150" s="170">
        <v>86</v>
      </c>
      <c r="E150" s="170" t="s">
        <v>104</v>
      </c>
      <c r="F150" s="170">
        <v>0.5</v>
      </c>
      <c r="G150" s="170">
        <v>0.13</v>
      </c>
      <c r="H150" s="170">
        <v>0.3</v>
      </c>
      <c r="I150" s="170">
        <v>1.66</v>
      </c>
      <c r="J150" s="170">
        <v>2</v>
      </c>
      <c r="K150" s="170">
        <v>0.12</v>
      </c>
      <c r="L150" s="171">
        <v>0.2</v>
      </c>
    </row>
    <row r="151" spans="1:12" ht="22.5">
      <c r="A151" s="646"/>
      <c r="B151" s="647"/>
      <c r="C151" s="111" t="s">
        <v>196</v>
      </c>
      <c r="D151" s="173" t="s">
        <v>104</v>
      </c>
      <c r="E151" s="173">
        <v>0.9</v>
      </c>
      <c r="F151" s="173">
        <v>1.96</v>
      </c>
      <c r="G151" s="173">
        <v>0.47</v>
      </c>
      <c r="H151" s="173">
        <v>1.07</v>
      </c>
      <c r="I151" s="173">
        <v>1.99</v>
      </c>
      <c r="J151" s="173">
        <v>2.4</v>
      </c>
      <c r="K151" s="173">
        <v>0.23</v>
      </c>
      <c r="L151" s="174">
        <v>0.38</v>
      </c>
    </row>
    <row r="152" spans="1:12" ht="33.75">
      <c r="A152" s="642" t="s">
        <v>224</v>
      </c>
      <c r="B152" s="643"/>
      <c r="C152" s="175" t="s">
        <v>195</v>
      </c>
      <c r="D152" s="170">
        <v>86</v>
      </c>
      <c r="E152" s="170" t="s">
        <v>104</v>
      </c>
      <c r="F152" s="170">
        <v>1.51</v>
      </c>
      <c r="G152" s="170">
        <v>0.35</v>
      </c>
      <c r="H152" s="170">
        <v>0.8</v>
      </c>
      <c r="I152" s="170">
        <v>0.5</v>
      </c>
      <c r="J152" s="170">
        <v>0.6</v>
      </c>
      <c r="K152" s="170">
        <v>0.12</v>
      </c>
      <c r="L152" s="171">
        <v>0.2</v>
      </c>
    </row>
    <row r="153" spans="1:12">
      <c r="A153" s="644"/>
      <c r="B153" s="645"/>
      <c r="C153" s="175" t="s">
        <v>112</v>
      </c>
      <c r="D153" s="170">
        <v>86</v>
      </c>
      <c r="E153" s="170" t="s">
        <v>104</v>
      </c>
      <c r="F153" s="170">
        <v>0.5</v>
      </c>
      <c r="G153" s="170">
        <v>0.13</v>
      </c>
      <c r="H153" s="170">
        <v>0.3</v>
      </c>
      <c r="I153" s="170">
        <v>1.41</v>
      </c>
      <c r="J153" s="170">
        <v>1.7</v>
      </c>
      <c r="K153" s="170">
        <v>0.06</v>
      </c>
      <c r="L153" s="171">
        <v>0.1</v>
      </c>
    </row>
    <row r="154" spans="1:12" ht="22.5">
      <c r="A154" s="644"/>
      <c r="B154" s="645"/>
      <c r="C154" s="111" t="s">
        <v>196</v>
      </c>
      <c r="D154" s="173" t="s">
        <v>104</v>
      </c>
      <c r="E154" s="173">
        <v>1.1000000000000001</v>
      </c>
      <c r="F154" s="173">
        <v>2.06</v>
      </c>
      <c r="G154" s="173">
        <v>0.49</v>
      </c>
      <c r="H154" s="173">
        <v>1.1299999999999999</v>
      </c>
      <c r="I154" s="173">
        <v>2.0499999999999998</v>
      </c>
      <c r="J154" s="173">
        <v>2.4700000000000002</v>
      </c>
      <c r="K154" s="173">
        <v>0.19</v>
      </c>
      <c r="L154" s="174">
        <v>0.31</v>
      </c>
    </row>
    <row r="155" spans="1:12" ht="33.75">
      <c r="A155" s="644"/>
      <c r="B155" s="645"/>
      <c r="C155" s="175" t="s">
        <v>197</v>
      </c>
      <c r="D155" s="170">
        <v>86</v>
      </c>
      <c r="E155" s="170" t="s">
        <v>104</v>
      </c>
      <c r="F155" s="170">
        <v>1.65</v>
      </c>
      <c r="G155" s="170">
        <v>0.35</v>
      </c>
      <c r="H155" s="170">
        <v>0.8</v>
      </c>
      <c r="I155" s="170">
        <v>0.5</v>
      </c>
      <c r="J155" s="170">
        <v>0.6</v>
      </c>
      <c r="K155" s="170">
        <v>0.12</v>
      </c>
      <c r="L155" s="171">
        <v>0.2</v>
      </c>
    </row>
    <row r="156" spans="1:12">
      <c r="A156" s="644"/>
      <c r="B156" s="645"/>
      <c r="C156" s="175" t="s">
        <v>112</v>
      </c>
      <c r="D156" s="170">
        <v>86</v>
      </c>
      <c r="E156" s="170" t="s">
        <v>104</v>
      </c>
      <c r="F156" s="170">
        <v>0.5</v>
      </c>
      <c r="G156" s="170">
        <v>0.13</v>
      </c>
      <c r="H156" s="170">
        <v>0.3</v>
      </c>
      <c r="I156" s="170">
        <v>1.41</v>
      </c>
      <c r="J156" s="170">
        <v>1.7</v>
      </c>
      <c r="K156" s="170">
        <v>0.06</v>
      </c>
      <c r="L156" s="171">
        <v>0.1</v>
      </c>
    </row>
    <row r="157" spans="1:12" ht="22.5">
      <c r="A157" s="646"/>
      <c r="B157" s="647"/>
      <c r="C157" s="111" t="s">
        <v>196</v>
      </c>
      <c r="D157" s="173" t="s">
        <v>104</v>
      </c>
      <c r="E157" s="173">
        <v>1.1000000000000001</v>
      </c>
      <c r="F157" s="173">
        <v>2.2000000000000002</v>
      </c>
      <c r="G157" s="173">
        <v>0.49</v>
      </c>
      <c r="H157" s="173">
        <v>1.1299999999999999</v>
      </c>
      <c r="I157" s="173">
        <v>2.0499999999999998</v>
      </c>
      <c r="J157" s="173">
        <v>2.4700000000000002</v>
      </c>
      <c r="K157" s="173">
        <v>0.19</v>
      </c>
      <c r="L157" s="174">
        <v>0.31</v>
      </c>
    </row>
    <row r="158" spans="1:12" ht="33.75">
      <c r="A158" s="642" t="s">
        <v>225</v>
      </c>
      <c r="B158" s="643"/>
      <c r="C158" s="175" t="s">
        <v>222</v>
      </c>
      <c r="D158" s="170">
        <v>86</v>
      </c>
      <c r="E158" s="170" t="s">
        <v>104</v>
      </c>
      <c r="F158" s="170">
        <v>1.38</v>
      </c>
      <c r="G158" s="170">
        <v>0.28000000000000003</v>
      </c>
      <c r="H158" s="170">
        <v>0.64</v>
      </c>
      <c r="I158" s="170">
        <v>0.31</v>
      </c>
      <c r="J158" s="170">
        <v>0.37</v>
      </c>
      <c r="K158" s="170">
        <v>0.12</v>
      </c>
      <c r="L158" s="171">
        <v>0.2</v>
      </c>
    </row>
    <row r="159" spans="1:12">
      <c r="A159" s="644"/>
      <c r="B159" s="645"/>
      <c r="C159" s="175" t="s">
        <v>112</v>
      </c>
      <c r="D159" s="170">
        <v>86</v>
      </c>
      <c r="E159" s="170" t="s">
        <v>104</v>
      </c>
      <c r="F159" s="170">
        <v>0.7</v>
      </c>
      <c r="G159" s="170">
        <v>0.06</v>
      </c>
      <c r="H159" s="170">
        <v>0.13</v>
      </c>
      <c r="I159" s="170">
        <v>1.22</v>
      </c>
      <c r="J159" s="170">
        <v>1.47</v>
      </c>
      <c r="K159" s="170">
        <v>0.15</v>
      </c>
      <c r="L159" s="171">
        <v>0.25</v>
      </c>
    </row>
    <row r="160" spans="1:12" ht="22.5">
      <c r="A160" s="644"/>
      <c r="B160" s="645"/>
      <c r="C160" s="111" t="s">
        <v>196</v>
      </c>
      <c r="D160" s="173" t="s">
        <v>104</v>
      </c>
      <c r="E160" s="173">
        <v>1</v>
      </c>
      <c r="F160" s="173">
        <v>2.08</v>
      </c>
      <c r="G160" s="173">
        <v>0.34</v>
      </c>
      <c r="H160" s="173">
        <v>0.77</v>
      </c>
      <c r="I160" s="173">
        <v>1.53</v>
      </c>
      <c r="J160" s="173">
        <v>1.84</v>
      </c>
      <c r="K160" s="173">
        <v>0.27</v>
      </c>
      <c r="L160" s="174">
        <v>0.45</v>
      </c>
    </row>
    <row r="161" spans="1:12" ht="33.75">
      <c r="A161" s="644"/>
      <c r="B161" s="645"/>
      <c r="C161" s="175" t="s">
        <v>195</v>
      </c>
      <c r="D161" s="170">
        <v>86</v>
      </c>
      <c r="E161" s="170" t="s">
        <v>104</v>
      </c>
      <c r="F161" s="170">
        <v>1.51</v>
      </c>
      <c r="G161" s="170">
        <v>0.28000000000000003</v>
      </c>
      <c r="H161" s="170">
        <v>0.64</v>
      </c>
      <c r="I161" s="170">
        <v>0.31</v>
      </c>
      <c r="J161" s="170">
        <v>0.37</v>
      </c>
      <c r="K161" s="170">
        <v>0.12</v>
      </c>
      <c r="L161" s="171">
        <v>0.2</v>
      </c>
    </row>
    <row r="162" spans="1:12">
      <c r="A162" s="644"/>
      <c r="B162" s="645"/>
      <c r="C162" s="175" t="s">
        <v>112</v>
      </c>
      <c r="D162" s="170">
        <v>86</v>
      </c>
      <c r="E162" s="170" t="s">
        <v>104</v>
      </c>
      <c r="F162" s="170">
        <v>0.7</v>
      </c>
      <c r="G162" s="170">
        <v>0.06</v>
      </c>
      <c r="H162" s="170">
        <v>0.13</v>
      </c>
      <c r="I162" s="170">
        <v>1.22</v>
      </c>
      <c r="J162" s="170">
        <v>1.47</v>
      </c>
      <c r="K162" s="170">
        <v>0.15</v>
      </c>
      <c r="L162" s="171">
        <v>0.25</v>
      </c>
    </row>
    <row r="163" spans="1:12" ht="22.5">
      <c r="A163" s="646"/>
      <c r="B163" s="647"/>
      <c r="C163" s="111" t="s">
        <v>196</v>
      </c>
      <c r="D163" s="173" t="s">
        <v>104</v>
      </c>
      <c r="E163" s="173">
        <v>1</v>
      </c>
      <c r="F163" s="173">
        <v>2.41</v>
      </c>
      <c r="G163" s="173">
        <v>0.34</v>
      </c>
      <c r="H163" s="173">
        <v>0.77</v>
      </c>
      <c r="I163" s="173">
        <v>1.53</v>
      </c>
      <c r="J163" s="173">
        <v>1.84</v>
      </c>
      <c r="K163" s="173">
        <v>0.27</v>
      </c>
      <c r="L163" s="174">
        <v>0.45</v>
      </c>
    </row>
    <row r="164" spans="1:12" ht="14.25">
      <c r="A164" s="640" t="s">
        <v>226</v>
      </c>
      <c r="B164" s="641"/>
      <c r="C164" s="641"/>
      <c r="D164" s="182"/>
      <c r="E164" s="182"/>
      <c r="F164" s="182"/>
      <c r="G164" s="182"/>
      <c r="H164" s="182"/>
      <c r="I164" s="182"/>
      <c r="J164" s="182"/>
      <c r="K164" s="182"/>
      <c r="L164" s="183"/>
    </row>
    <row r="165" spans="1:12" ht="33.75">
      <c r="A165" s="642" t="s">
        <v>227</v>
      </c>
      <c r="B165" s="643"/>
      <c r="C165" s="175" t="s">
        <v>228</v>
      </c>
      <c r="D165" s="170">
        <v>86</v>
      </c>
      <c r="E165" s="170" t="s">
        <v>104</v>
      </c>
      <c r="F165" s="170">
        <v>4.0999999999999996</v>
      </c>
      <c r="G165" s="170">
        <v>0.52</v>
      </c>
      <c r="H165" s="170">
        <v>1.2</v>
      </c>
      <c r="I165" s="170">
        <v>1.1599999999999999</v>
      </c>
      <c r="J165" s="170">
        <v>1.4</v>
      </c>
      <c r="K165" s="170">
        <v>0.12</v>
      </c>
      <c r="L165" s="171">
        <v>0.2</v>
      </c>
    </row>
    <row r="166" spans="1:12">
      <c r="A166" s="644"/>
      <c r="B166" s="645"/>
      <c r="C166" s="175" t="s">
        <v>112</v>
      </c>
      <c r="D166" s="170">
        <v>86</v>
      </c>
      <c r="E166" s="170" t="s">
        <v>104</v>
      </c>
      <c r="F166" s="170">
        <v>1.5</v>
      </c>
      <c r="G166" s="170">
        <v>0.13</v>
      </c>
      <c r="H166" s="170">
        <v>0.3</v>
      </c>
      <c r="I166" s="170">
        <v>2.16</v>
      </c>
      <c r="J166" s="170">
        <v>2.6</v>
      </c>
      <c r="K166" s="170">
        <v>0.24</v>
      </c>
      <c r="L166" s="171">
        <v>0.4</v>
      </c>
    </row>
    <row r="167" spans="1:12" ht="22.5">
      <c r="A167" s="646"/>
      <c r="B167" s="647"/>
      <c r="C167" s="111" t="s">
        <v>196</v>
      </c>
      <c r="D167" s="173" t="s">
        <v>104</v>
      </c>
      <c r="E167" s="173">
        <v>1</v>
      </c>
      <c r="F167" s="173">
        <v>5.6</v>
      </c>
      <c r="G167" s="173">
        <v>0.65</v>
      </c>
      <c r="H167" s="173">
        <v>1.5</v>
      </c>
      <c r="I167" s="173">
        <v>3.32</v>
      </c>
      <c r="J167" s="173">
        <v>4</v>
      </c>
      <c r="K167" s="173">
        <v>0.36</v>
      </c>
      <c r="L167" s="174">
        <v>0.6</v>
      </c>
    </row>
    <row r="168" spans="1:12" ht="33.75">
      <c r="A168" s="642" t="s">
        <v>229</v>
      </c>
      <c r="B168" s="643"/>
      <c r="C168" s="175" t="s">
        <v>230</v>
      </c>
      <c r="D168" s="170">
        <v>86</v>
      </c>
      <c r="E168" s="170" t="s">
        <v>104</v>
      </c>
      <c r="F168" s="170">
        <v>3.6</v>
      </c>
      <c r="G168" s="170">
        <v>0.48</v>
      </c>
      <c r="H168" s="170">
        <v>1.1000000000000001</v>
      </c>
      <c r="I168" s="170">
        <v>1.1599999999999999</v>
      </c>
      <c r="J168" s="170">
        <v>1.4</v>
      </c>
      <c r="K168" s="170">
        <v>0.12</v>
      </c>
      <c r="L168" s="171">
        <v>0.2</v>
      </c>
    </row>
    <row r="169" spans="1:12">
      <c r="A169" s="644"/>
      <c r="B169" s="645"/>
      <c r="C169" s="175" t="s">
        <v>112</v>
      </c>
      <c r="D169" s="170">
        <v>86</v>
      </c>
      <c r="E169" s="170" t="s">
        <v>104</v>
      </c>
      <c r="F169" s="170">
        <v>1.5</v>
      </c>
      <c r="G169" s="170">
        <v>0.13</v>
      </c>
      <c r="H169" s="170">
        <v>0.3</v>
      </c>
      <c r="I169" s="170">
        <v>2.16</v>
      </c>
      <c r="J169" s="170">
        <v>2.6</v>
      </c>
      <c r="K169" s="170">
        <v>0.3</v>
      </c>
      <c r="L169" s="171">
        <v>0.5</v>
      </c>
    </row>
    <row r="170" spans="1:12" ht="22.5">
      <c r="A170" s="646"/>
      <c r="B170" s="647"/>
      <c r="C170" s="111" t="s">
        <v>196</v>
      </c>
      <c r="D170" s="173" t="s">
        <v>104</v>
      </c>
      <c r="E170" s="173">
        <v>1</v>
      </c>
      <c r="F170" s="173">
        <v>5.0999999999999996</v>
      </c>
      <c r="G170" s="173">
        <v>0.61</v>
      </c>
      <c r="H170" s="173">
        <v>1.4</v>
      </c>
      <c r="I170" s="173">
        <v>3.32</v>
      </c>
      <c r="J170" s="173">
        <v>4</v>
      </c>
      <c r="K170" s="173">
        <v>0.42</v>
      </c>
      <c r="L170" s="174">
        <v>0.7</v>
      </c>
    </row>
    <row r="171" spans="1:12" ht="33.75">
      <c r="A171" s="642" t="s">
        <v>231</v>
      </c>
      <c r="B171" s="643"/>
      <c r="C171" s="175" t="s">
        <v>232</v>
      </c>
      <c r="D171" s="170">
        <v>86</v>
      </c>
      <c r="E171" s="170" t="s">
        <v>104</v>
      </c>
      <c r="F171" s="170">
        <v>4.4800000000000004</v>
      </c>
      <c r="G171" s="170">
        <v>0.48</v>
      </c>
      <c r="H171" s="170">
        <v>1.1000000000000001</v>
      </c>
      <c r="I171" s="170">
        <v>1.1599999999999999</v>
      </c>
      <c r="J171" s="170">
        <v>1.4</v>
      </c>
      <c r="K171" s="170">
        <v>0.12</v>
      </c>
      <c r="L171" s="171">
        <v>0.2</v>
      </c>
    </row>
    <row r="172" spans="1:12">
      <c r="A172" s="644"/>
      <c r="B172" s="645"/>
      <c r="C172" s="175" t="s">
        <v>112</v>
      </c>
      <c r="D172" s="170">
        <v>86</v>
      </c>
      <c r="E172" s="170" t="s">
        <v>104</v>
      </c>
      <c r="F172" s="170">
        <v>1.5</v>
      </c>
      <c r="G172" s="170">
        <v>0.13</v>
      </c>
      <c r="H172" s="170">
        <v>0.3</v>
      </c>
      <c r="I172" s="170">
        <v>2.16</v>
      </c>
      <c r="J172" s="170">
        <v>2.6</v>
      </c>
      <c r="K172" s="170">
        <v>0.3</v>
      </c>
      <c r="L172" s="171">
        <v>0.5</v>
      </c>
    </row>
    <row r="173" spans="1:12" ht="22.5">
      <c r="A173" s="646"/>
      <c r="B173" s="647"/>
      <c r="C173" s="111" t="s">
        <v>196</v>
      </c>
      <c r="D173" s="173" t="s">
        <v>104</v>
      </c>
      <c r="E173" s="173">
        <v>1</v>
      </c>
      <c r="F173" s="173">
        <v>5.98</v>
      </c>
      <c r="G173" s="173">
        <v>0.61</v>
      </c>
      <c r="H173" s="173">
        <v>1.4</v>
      </c>
      <c r="I173" s="173">
        <v>3.32</v>
      </c>
      <c r="J173" s="173">
        <v>4</v>
      </c>
      <c r="K173" s="173">
        <v>0.42</v>
      </c>
      <c r="L173" s="174">
        <v>0.7</v>
      </c>
    </row>
    <row r="174" spans="1:12" ht="33.75">
      <c r="A174" s="642" t="s">
        <v>233</v>
      </c>
      <c r="B174" s="643"/>
      <c r="C174" s="175" t="s">
        <v>234</v>
      </c>
      <c r="D174" s="170">
        <v>86</v>
      </c>
      <c r="E174" s="170" t="s">
        <v>104</v>
      </c>
      <c r="F174" s="170">
        <v>4.8</v>
      </c>
      <c r="G174" s="170">
        <v>0.48</v>
      </c>
      <c r="H174" s="170">
        <v>1.1000000000000001</v>
      </c>
      <c r="I174" s="170">
        <v>1.1599999999999999</v>
      </c>
      <c r="J174" s="170">
        <v>1.4</v>
      </c>
      <c r="K174" s="170">
        <v>0.12</v>
      </c>
      <c r="L174" s="171">
        <v>0.2</v>
      </c>
    </row>
    <row r="175" spans="1:12">
      <c r="A175" s="644"/>
      <c r="B175" s="645"/>
      <c r="C175" s="175" t="s">
        <v>112</v>
      </c>
      <c r="D175" s="170">
        <v>86</v>
      </c>
      <c r="E175" s="170" t="s">
        <v>104</v>
      </c>
      <c r="F175" s="170">
        <v>1.5</v>
      </c>
      <c r="G175" s="170">
        <v>0.13</v>
      </c>
      <c r="H175" s="170">
        <v>0.3</v>
      </c>
      <c r="I175" s="170">
        <v>2.16</v>
      </c>
      <c r="J175" s="170">
        <v>2.6</v>
      </c>
      <c r="K175" s="170">
        <v>0.3</v>
      </c>
      <c r="L175" s="171">
        <v>0.5</v>
      </c>
    </row>
    <row r="176" spans="1:12" ht="22.5">
      <c r="A176" s="646"/>
      <c r="B176" s="647"/>
      <c r="C176" s="111" t="s">
        <v>196</v>
      </c>
      <c r="D176" s="173" t="s">
        <v>104</v>
      </c>
      <c r="E176" s="173">
        <v>1</v>
      </c>
      <c r="F176" s="173">
        <v>6.3</v>
      </c>
      <c r="G176" s="173">
        <v>0.61</v>
      </c>
      <c r="H176" s="173">
        <v>1.4</v>
      </c>
      <c r="I176" s="173">
        <v>3.32</v>
      </c>
      <c r="J176" s="173">
        <v>4</v>
      </c>
      <c r="K176" s="173">
        <v>0.42</v>
      </c>
      <c r="L176" s="174">
        <v>0.7</v>
      </c>
    </row>
    <row r="177" spans="1:12" ht="33.75">
      <c r="A177" s="642" t="s">
        <v>235</v>
      </c>
      <c r="B177" s="643"/>
      <c r="C177" s="175" t="s">
        <v>236</v>
      </c>
      <c r="D177" s="170">
        <v>86</v>
      </c>
      <c r="E177" s="170" t="s">
        <v>104</v>
      </c>
      <c r="F177" s="170">
        <v>6.24</v>
      </c>
      <c r="G177" s="170">
        <v>0.55000000000000004</v>
      </c>
      <c r="H177" s="170">
        <v>1.27</v>
      </c>
      <c r="I177" s="170">
        <v>1.1000000000000001</v>
      </c>
      <c r="J177" s="170">
        <v>1.34</v>
      </c>
      <c r="K177" s="170">
        <v>0.13</v>
      </c>
      <c r="L177" s="171">
        <v>0.21</v>
      </c>
    </row>
    <row r="178" spans="1:12">
      <c r="A178" s="644"/>
      <c r="B178" s="645"/>
      <c r="C178" s="175" t="s">
        <v>112</v>
      </c>
      <c r="D178" s="170">
        <v>86</v>
      </c>
      <c r="E178" s="170" t="s">
        <v>104</v>
      </c>
      <c r="F178" s="170">
        <v>1.5</v>
      </c>
      <c r="G178" s="170">
        <v>0.16</v>
      </c>
      <c r="H178" s="170">
        <v>0.36</v>
      </c>
      <c r="I178" s="170">
        <v>0.61</v>
      </c>
      <c r="J178" s="170">
        <v>0.73</v>
      </c>
      <c r="K178" s="170">
        <v>0.11</v>
      </c>
      <c r="L178" s="171">
        <v>0.18</v>
      </c>
    </row>
    <row r="179" spans="1:12" ht="22.5">
      <c r="A179" s="646"/>
      <c r="B179" s="647"/>
      <c r="C179" s="111" t="s">
        <v>196</v>
      </c>
      <c r="D179" s="173" t="s">
        <v>104</v>
      </c>
      <c r="E179" s="173">
        <v>1</v>
      </c>
      <c r="F179" s="173">
        <v>7.74</v>
      </c>
      <c r="G179" s="173">
        <v>0.71</v>
      </c>
      <c r="H179" s="173">
        <v>1.63</v>
      </c>
      <c r="I179" s="173">
        <v>1.72</v>
      </c>
      <c r="J179" s="173">
        <v>2.0699999999999998</v>
      </c>
      <c r="K179" s="173">
        <v>0.24</v>
      </c>
      <c r="L179" s="174">
        <v>0.39</v>
      </c>
    </row>
    <row r="180" spans="1:12" ht="33.75">
      <c r="A180" s="642" t="s">
        <v>237</v>
      </c>
      <c r="B180" s="643"/>
      <c r="C180" s="175" t="s">
        <v>230</v>
      </c>
      <c r="D180" s="170">
        <v>86</v>
      </c>
      <c r="E180" s="170" t="s">
        <v>104</v>
      </c>
      <c r="F180" s="170">
        <v>3.6</v>
      </c>
      <c r="G180" s="170">
        <v>0.48</v>
      </c>
      <c r="H180" s="170">
        <v>1.1000000000000001</v>
      </c>
      <c r="I180" s="170">
        <v>1.1599999999999999</v>
      </c>
      <c r="J180" s="170">
        <v>1.4</v>
      </c>
      <c r="K180" s="170">
        <v>0.12</v>
      </c>
      <c r="L180" s="171">
        <v>0.2</v>
      </c>
    </row>
    <row r="181" spans="1:12">
      <c r="A181" s="644"/>
      <c r="B181" s="645"/>
      <c r="C181" s="175" t="s">
        <v>112</v>
      </c>
      <c r="D181" s="170">
        <v>86</v>
      </c>
      <c r="E181" s="170" t="s">
        <v>104</v>
      </c>
      <c r="F181" s="170">
        <v>1.5</v>
      </c>
      <c r="G181" s="170">
        <v>0.13</v>
      </c>
      <c r="H181" s="170">
        <v>0.3</v>
      </c>
      <c r="I181" s="170">
        <v>2.16</v>
      </c>
      <c r="J181" s="170">
        <v>2.6</v>
      </c>
      <c r="K181" s="170">
        <v>0.3</v>
      </c>
      <c r="L181" s="171">
        <v>0.5</v>
      </c>
    </row>
    <row r="182" spans="1:12" ht="22.5">
      <c r="A182" s="646"/>
      <c r="B182" s="647"/>
      <c r="C182" s="111" t="s">
        <v>196</v>
      </c>
      <c r="D182" s="173" t="s">
        <v>104</v>
      </c>
      <c r="E182" s="173">
        <v>1</v>
      </c>
      <c r="F182" s="173">
        <v>5.0999999999999996</v>
      </c>
      <c r="G182" s="173">
        <v>0.61</v>
      </c>
      <c r="H182" s="173">
        <v>1.4</v>
      </c>
      <c r="I182" s="173">
        <v>3.32</v>
      </c>
      <c r="J182" s="173">
        <v>4</v>
      </c>
      <c r="K182" s="173">
        <v>0.42</v>
      </c>
      <c r="L182" s="174">
        <v>0.7</v>
      </c>
    </row>
    <row r="183" spans="1:12" ht="33.75">
      <c r="A183" s="642" t="s">
        <v>238</v>
      </c>
      <c r="B183" s="643"/>
      <c r="C183" s="175" t="s">
        <v>230</v>
      </c>
      <c r="D183" s="170">
        <v>86</v>
      </c>
      <c r="E183" s="170" t="s">
        <v>104</v>
      </c>
      <c r="F183" s="170">
        <v>3.6</v>
      </c>
      <c r="G183" s="170">
        <v>0.48</v>
      </c>
      <c r="H183" s="170">
        <v>1.1000000000000001</v>
      </c>
      <c r="I183" s="170">
        <v>1.1599999999999999</v>
      </c>
      <c r="J183" s="170">
        <v>1.4</v>
      </c>
      <c r="K183" s="170">
        <v>0.12</v>
      </c>
      <c r="L183" s="171">
        <v>0.2</v>
      </c>
    </row>
    <row r="184" spans="1:12">
      <c r="A184" s="644"/>
      <c r="B184" s="645"/>
      <c r="C184" s="175" t="s">
        <v>112</v>
      </c>
      <c r="D184" s="170">
        <v>86</v>
      </c>
      <c r="E184" s="170" t="s">
        <v>104</v>
      </c>
      <c r="F184" s="170">
        <v>1.5</v>
      </c>
      <c r="G184" s="170">
        <v>0.13</v>
      </c>
      <c r="H184" s="170">
        <v>0.3</v>
      </c>
      <c r="I184" s="170">
        <v>2.16</v>
      </c>
      <c r="J184" s="170">
        <v>2.6</v>
      </c>
      <c r="K184" s="170">
        <v>0.3</v>
      </c>
      <c r="L184" s="171">
        <v>0.5</v>
      </c>
    </row>
    <row r="185" spans="1:12" ht="22.5">
      <c r="A185" s="646"/>
      <c r="B185" s="647"/>
      <c r="C185" s="111" t="s">
        <v>196</v>
      </c>
      <c r="D185" s="173" t="s">
        <v>104</v>
      </c>
      <c r="E185" s="173">
        <v>1</v>
      </c>
      <c r="F185" s="173">
        <v>5.0999999999999996</v>
      </c>
      <c r="G185" s="173">
        <v>0.61</v>
      </c>
      <c r="H185" s="173">
        <v>1.4</v>
      </c>
      <c r="I185" s="173">
        <v>3.32</v>
      </c>
      <c r="J185" s="173">
        <v>4</v>
      </c>
      <c r="K185" s="173">
        <v>0.42</v>
      </c>
      <c r="L185" s="174">
        <v>0.7</v>
      </c>
    </row>
    <row r="186" spans="1:12" ht="33.75">
      <c r="A186" s="642" t="s">
        <v>239</v>
      </c>
      <c r="B186" s="643"/>
      <c r="C186" s="175" t="s">
        <v>240</v>
      </c>
      <c r="D186" s="170">
        <v>86</v>
      </c>
      <c r="E186" s="170" t="s">
        <v>104</v>
      </c>
      <c r="F186" s="170">
        <v>4.4000000000000004</v>
      </c>
      <c r="G186" s="170">
        <v>0.67</v>
      </c>
      <c r="H186" s="170">
        <v>1.53</v>
      </c>
      <c r="I186" s="170">
        <v>1.52</v>
      </c>
      <c r="J186" s="170">
        <v>1.83</v>
      </c>
      <c r="K186" s="170">
        <v>0.18</v>
      </c>
      <c r="L186" s="171">
        <v>0.3</v>
      </c>
    </row>
    <row r="187" spans="1:12">
      <c r="A187" s="644"/>
      <c r="B187" s="645"/>
      <c r="C187" s="175" t="s">
        <v>112</v>
      </c>
      <c r="D187" s="170">
        <v>86</v>
      </c>
      <c r="E187" s="170" t="s">
        <v>104</v>
      </c>
      <c r="F187" s="170">
        <v>1.5</v>
      </c>
      <c r="G187" s="170">
        <v>0.13</v>
      </c>
      <c r="H187" s="170">
        <v>0.3</v>
      </c>
      <c r="I187" s="170">
        <v>0.95</v>
      </c>
      <c r="J187" s="170">
        <v>1.1399999999999999</v>
      </c>
      <c r="K187" s="170">
        <v>0.39</v>
      </c>
      <c r="L187" s="171">
        <v>0.64</v>
      </c>
    </row>
    <row r="188" spans="1:12" ht="22.5">
      <c r="A188" s="646"/>
      <c r="B188" s="647"/>
      <c r="C188" s="111" t="s">
        <v>196</v>
      </c>
      <c r="D188" s="173" t="s">
        <v>104</v>
      </c>
      <c r="E188" s="173">
        <v>1</v>
      </c>
      <c r="F188" s="173">
        <v>5.9</v>
      </c>
      <c r="G188" s="173">
        <v>0.8</v>
      </c>
      <c r="H188" s="173">
        <v>1.83</v>
      </c>
      <c r="I188" s="173">
        <v>2.4700000000000002</v>
      </c>
      <c r="J188" s="173">
        <v>2.97</v>
      </c>
      <c r="K188" s="173">
        <v>0.56999999999999995</v>
      </c>
      <c r="L188" s="174">
        <v>0.94</v>
      </c>
    </row>
    <row r="189" spans="1:12" ht="14.25">
      <c r="A189" s="180" t="s">
        <v>241</v>
      </c>
      <c r="B189" s="181"/>
      <c r="C189" s="181"/>
      <c r="D189" s="182"/>
      <c r="E189" s="182"/>
      <c r="F189" s="182"/>
      <c r="G189" s="182"/>
      <c r="H189" s="182"/>
      <c r="I189" s="182"/>
      <c r="J189" s="182"/>
      <c r="K189" s="182"/>
      <c r="L189" s="183"/>
    </row>
    <row r="190" spans="1:12" ht="33.75">
      <c r="A190" s="642" t="s">
        <v>242</v>
      </c>
      <c r="B190" s="643"/>
      <c r="C190" s="175" t="s">
        <v>243</v>
      </c>
      <c r="D190" s="170">
        <v>91</v>
      </c>
      <c r="E190" s="170" t="s">
        <v>104</v>
      </c>
      <c r="F190" s="170">
        <v>3.35</v>
      </c>
      <c r="G190" s="170">
        <v>0.78</v>
      </c>
      <c r="H190" s="170">
        <v>1.8</v>
      </c>
      <c r="I190" s="170">
        <v>0.83</v>
      </c>
      <c r="J190" s="170">
        <v>1</v>
      </c>
      <c r="K190" s="170">
        <v>0.3</v>
      </c>
      <c r="L190" s="171">
        <v>0.5</v>
      </c>
    </row>
    <row r="191" spans="1:12">
      <c r="A191" s="644"/>
      <c r="B191" s="645"/>
      <c r="C191" s="175" t="s">
        <v>112</v>
      </c>
      <c r="D191" s="170">
        <v>86</v>
      </c>
      <c r="E191" s="170" t="s">
        <v>104</v>
      </c>
      <c r="F191" s="170">
        <v>0.7</v>
      </c>
      <c r="G191" s="170">
        <v>0.17</v>
      </c>
      <c r="H191" s="170">
        <v>0.4</v>
      </c>
      <c r="I191" s="170">
        <v>2.08</v>
      </c>
      <c r="J191" s="170">
        <v>2.5</v>
      </c>
      <c r="K191" s="170">
        <v>0.09</v>
      </c>
      <c r="L191" s="171">
        <v>0.15</v>
      </c>
    </row>
    <row r="192" spans="1:12" ht="22.5">
      <c r="A192" s="646"/>
      <c r="B192" s="647"/>
      <c r="C192" s="111" t="s">
        <v>196</v>
      </c>
      <c r="D192" s="173" t="s">
        <v>104</v>
      </c>
      <c r="E192" s="173">
        <v>1.7</v>
      </c>
      <c r="F192" s="173">
        <v>4.54</v>
      </c>
      <c r="G192" s="173">
        <v>1.07</v>
      </c>
      <c r="H192" s="173">
        <v>2.48</v>
      </c>
      <c r="I192" s="173">
        <v>4.37</v>
      </c>
      <c r="J192" s="173">
        <v>5.25</v>
      </c>
      <c r="K192" s="173">
        <v>0.45</v>
      </c>
      <c r="L192" s="174">
        <v>0.76</v>
      </c>
    </row>
    <row r="193" spans="1:12" ht="33.75">
      <c r="A193" s="642" t="s">
        <v>244</v>
      </c>
      <c r="B193" s="643"/>
      <c r="C193" s="175" t="s">
        <v>243</v>
      </c>
      <c r="D193" s="170">
        <v>91</v>
      </c>
      <c r="E193" s="170" t="s">
        <v>104</v>
      </c>
      <c r="F193" s="170">
        <v>3.3</v>
      </c>
      <c r="G193" s="170">
        <v>0.78</v>
      </c>
      <c r="H193" s="170">
        <v>1.8</v>
      </c>
      <c r="I193" s="170">
        <v>0.83</v>
      </c>
      <c r="J193" s="170">
        <v>1</v>
      </c>
      <c r="K193" s="170">
        <v>0.3</v>
      </c>
      <c r="L193" s="171">
        <v>0.5</v>
      </c>
    </row>
    <row r="194" spans="1:12">
      <c r="A194" s="644"/>
      <c r="B194" s="645"/>
      <c r="C194" s="175" t="s">
        <v>112</v>
      </c>
      <c r="D194" s="170">
        <v>86</v>
      </c>
      <c r="E194" s="170" t="s">
        <v>104</v>
      </c>
      <c r="F194" s="170">
        <v>0.7</v>
      </c>
      <c r="G194" s="170">
        <v>0.17</v>
      </c>
      <c r="H194" s="170">
        <v>0.4</v>
      </c>
      <c r="I194" s="170">
        <v>2.08</v>
      </c>
      <c r="J194" s="170">
        <v>2.5</v>
      </c>
      <c r="K194" s="170">
        <v>0.09</v>
      </c>
      <c r="L194" s="171">
        <v>0.15</v>
      </c>
    </row>
    <row r="195" spans="1:12" ht="22.5">
      <c r="A195" s="646"/>
      <c r="B195" s="647"/>
      <c r="C195" s="111" t="s">
        <v>196</v>
      </c>
      <c r="D195" s="173" t="s">
        <v>104</v>
      </c>
      <c r="E195" s="173">
        <v>1.6</v>
      </c>
      <c r="F195" s="173">
        <v>4.42</v>
      </c>
      <c r="G195" s="173">
        <v>1.05</v>
      </c>
      <c r="H195" s="173">
        <v>2.44</v>
      </c>
      <c r="I195" s="173">
        <v>4.16</v>
      </c>
      <c r="J195" s="173">
        <v>5</v>
      </c>
      <c r="K195" s="173">
        <v>0.44</v>
      </c>
      <c r="L195" s="174">
        <v>0.74</v>
      </c>
    </row>
    <row r="196" spans="1:12" ht="33.75">
      <c r="A196" s="642" t="s">
        <v>245</v>
      </c>
      <c r="B196" s="643"/>
      <c r="C196" s="175" t="s">
        <v>246</v>
      </c>
      <c r="D196" s="170">
        <v>91</v>
      </c>
      <c r="E196" s="170" t="s">
        <v>104</v>
      </c>
      <c r="F196" s="170">
        <v>2.91</v>
      </c>
      <c r="G196" s="170">
        <v>0.7</v>
      </c>
      <c r="H196" s="170">
        <v>1.6</v>
      </c>
      <c r="I196" s="170">
        <v>1.99</v>
      </c>
      <c r="J196" s="170">
        <v>2.4</v>
      </c>
      <c r="K196" s="170">
        <v>0.42</v>
      </c>
      <c r="L196" s="171">
        <v>0.7</v>
      </c>
    </row>
    <row r="197" spans="1:12">
      <c r="A197" s="644"/>
      <c r="B197" s="645"/>
      <c r="C197" s="175" t="s">
        <v>247</v>
      </c>
      <c r="D197" s="170">
        <v>86</v>
      </c>
      <c r="E197" s="170" t="s">
        <v>104</v>
      </c>
      <c r="F197" s="170">
        <v>1</v>
      </c>
      <c r="G197" s="170">
        <v>0.39</v>
      </c>
      <c r="H197" s="170">
        <v>0.99</v>
      </c>
      <c r="I197" s="170">
        <v>4.1500000000000004</v>
      </c>
      <c r="J197" s="170">
        <v>5</v>
      </c>
      <c r="K197" s="170">
        <v>0.18</v>
      </c>
      <c r="L197" s="171">
        <v>0.3</v>
      </c>
    </row>
    <row r="198" spans="1:12" ht="22.5">
      <c r="A198" s="646"/>
      <c r="B198" s="647"/>
      <c r="C198" s="111" t="s">
        <v>196</v>
      </c>
      <c r="D198" s="173" t="s">
        <v>104</v>
      </c>
      <c r="E198" s="173">
        <v>2</v>
      </c>
      <c r="F198" s="173">
        <v>4.91</v>
      </c>
      <c r="G198" s="173">
        <v>1.48</v>
      </c>
      <c r="H198" s="173">
        <v>3.58</v>
      </c>
      <c r="I198" s="173">
        <v>10.29</v>
      </c>
      <c r="J198" s="173">
        <v>12.4</v>
      </c>
      <c r="K198" s="173">
        <v>0.78</v>
      </c>
      <c r="L198" s="174">
        <v>1.3</v>
      </c>
    </row>
    <row r="199" spans="1:12" ht="33.75">
      <c r="A199" s="642" t="s">
        <v>248</v>
      </c>
      <c r="B199" s="643"/>
      <c r="C199" s="175" t="s">
        <v>249</v>
      </c>
      <c r="D199" s="170">
        <v>91</v>
      </c>
      <c r="E199" s="170" t="s">
        <v>104</v>
      </c>
      <c r="F199" s="170">
        <v>3.5</v>
      </c>
      <c r="G199" s="170">
        <v>0.52</v>
      </c>
      <c r="H199" s="170">
        <v>1.2</v>
      </c>
      <c r="I199" s="170">
        <v>0.83</v>
      </c>
      <c r="J199" s="170">
        <v>1</v>
      </c>
      <c r="K199" s="170">
        <v>0.48</v>
      </c>
      <c r="L199" s="171">
        <v>0.8</v>
      </c>
    </row>
    <row r="200" spans="1:12">
      <c r="A200" s="644"/>
      <c r="B200" s="645"/>
      <c r="C200" s="175" t="s">
        <v>112</v>
      </c>
      <c r="D200" s="170">
        <v>86</v>
      </c>
      <c r="E200" s="170" t="s">
        <v>104</v>
      </c>
      <c r="F200" s="170">
        <v>0.53</v>
      </c>
      <c r="G200" s="170">
        <v>0.09</v>
      </c>
      <c r="H200" s="170">
        <v>0.21</v>
      </c>
      <c r="I200" s="170">
        <v>1.1599999999999999</v>
      </c>
      <c r="J200" s="170">
        <v>1.4</v>
      </c>
      <c r="K200" s="170">
        <v>0.06</v>
      </c>
      <c r="L200" s="171">
        <v>0.1</v>
      </c>
    </row>
    <row r="201" spans="1:12" ht="22.5">
      <c r="A201" s="646"/>
      <c r="B201" s="647"/>
      <c r="C201" s="111" t="s">
        <v>196</v>
      </c>
      <c r="D201" s="173" t="s">
        <v>104</v>
      </c>
      <c r="E201" s="173">
        <v>1.5</v>
      </c>
      <c r="F201" s="173">
        <v>4.3</v>
      </c>
      <c r="G201" s="173">
        <v>0.65</v>
      </c>
      <c r="H201" s="173">
        <v>1.5</v>
      </c>
      <c r="I201" s="173">
        <v>2.57</v>
      </c>
      <c r="J201" s="173">
        <v>3.1</v>
      </c>
      <c r="K201" s="173">
        <v>0.56999999999999995</v>
      </c>
      <c r="L201" s="174">
        <v>0.95</v>
      </c>
    </row>
    <row r="202" spans="1:12" ht="33.75">
      <c r="A202" s="642" t="s">
        <v>250</v>
      </c>
      <c r="B202" s="643"/>
      <c r="C202" s="175" t="s">
        <v>243</v>
      </c>
      <c r="D202" s="170">
        <v>91</v>
      </c>
      <c r="E202" s="170" t="s">
        <v>104</v>
      </c>
      <c r="F202" s="170">
        <v>5.08</v>
      </c>
      <c r="G202" s="170">
        <v>0.77</v>
      </c>
      <c r="H202" s="170">
        <v>1.77</v>
      </c>
      <c r="I202" s="170">
        <v>0.77</v>
      </c>
      <c r="J202" s="170">
        <v>0.93</v>
      </c>
      <c r="K202" s="170">
        <v>0.18</v>
      </c>
      <c r="L202" s="171">
        <v>0.3</v>
      </c>
    </row>
    <row r="203" spans="1:12">
      <c r="A203" s="644"/>
      <c r="B203" s="645"/>
      <c r="C203" s="175" t="s">
        <v>112</v>
      </c>
      <c r="D203" s="170">
        <v>86</v>
      </c>
      <c r="E203" s="170" t="s">
        <v>104</v>
      </c>
      <c r="F203" s="170">
        <v>0.7</v>
      </c>
      <c r="G203" s="170">
        <v>0.17</v>
      </c>
      <c r="H203" s="170">
        <v>0.4</v>
      </c>
      <c r="I203" s="170">
        <v>2.08</v>
      </c>
      <c r="J203" s="170">
        <v>2.5</v>
      </c>
      <c r="K203" s="170">
        <v>0.09</v>
      </c>
      <c r="L203" s="171">
        <v>0.15</v>
      </c>
    </row>
    <row r="204" spans="1:12" ht="22.5">
      <c r="A204" s="646"/>
      <c r="B204" s="647"/>
      <c r="C204" s="111" t="s">
        <v>196</v>
      </c>
      <c r="D204" s="173" t="s">
        <v>104</v>
      </c>
      <c r="E204" s="173">
        <v>1.5</v>
      </c>
      <c r="F204" s="173">
        <v>6.13</v>
      </c>
      <c r="G204" s="173">
        <v>1.03</v>
      </c>
      <c r="H204" s="173">
        <v>2.37</v>
      </c>
      <c r="I204" s="173">
        <v>3.89</v>
      </c>
      <c r="J204" s="173">
        <v>4.6900000000000004</v>
      </c>
      <c r="K204" s="173">
        <v>0.31</v>
      </c>
      <c r="L204" s="174">
        <v>0.53</v>
      </c>
    </row>
    <row r="205" spans="1:12" ht="33.75">
      <c r="A205" s="642" t="s">
        <v>251</v>
      </c>
      <c r="B205" s="643"/>
      <c r="C205" s="175" t="s">
        <v>252</v>
      </c>
      <c r="D205" s="170">
        <v>91</v>
      </c>
      <c r="E205" s="170" t="s">
        <v>104</v>
      </c>
      <c r="F205" s="170">
        <v>4.28</v>
      </c>
      <c r="G205" s="170">
        <v>0.68</v>
      </c>
      <c r="H205" s="170">
        <v>1.56</v>
      </c>
      <c r="I205" s="170">
        <v>0.88</v>
      </c>
      <c r="J205" s="170">
        <v>1.06</v>
      </c>
      <c r="K205" s="170">
        <v>0.16</v>
      </c>
      <c r="L205" s="171">
        <v>0.27</v>
      </c>
    </row>
    <row r="206" spans="1:12">
      <c r="A206" s="644"/>
      <c r="B206" s="645"/>
      <c r="C206" s="175" t="s">
        <v>247</v>
      </c>
      <c r="D206" s="170">
        <v>86</v>
      </c>
      <c r="E206" s="170" t="s">
        <v>104</v>
      </c>
      <c r="F206" s="170">
        <v>0.8</v>
      </c>
      <c r="G206" s="170">
        <v>0.13</v>
      </c>
      <c r="H206" s="170">
        <v>0.3</v>
      </c>
      <c r="I206" s="170">
        <v>1.25</v>
      </c>
      <c r="J206" s="170">
        <v>1.5</v>
      </c>
      <c r="K206" s="170">
        <v>0.06</v>
      </c>
      <c r="L206" s="171">
        <v>0.1</v>
      </c>
    </row>
    <row r="207" spans="1:12" ht="22.5">
      <c r="A207" s="646"/>
      <c r="B207" s="647"/>
      <c r="C207" s="111" t="s">
        <v>196</v>
      </c>
      <c r="D207" s="173" t="s">
        <v>104</v>
      </c>
      <c r="E207" s="173">
        <v>1.4</v>
      </c>
      <c r="F207" s="173">
        <v>5.4</v>
      </c>
      <c r="G207" s="173">
        <v>0.86</v>
      </c>
      <c r="H207" s="173">
        <v>1.98</v>
      </c>
      <c r="I207" s="173">
        <v>2.62</v>
      </c>
      <c r="J207" s="173">
        <v>3.16</v>
      </c>
      <c r="K207" s="173">
        <v>0.25</v>
      </c>
      <c r="L207" s="174">
        <v>0.41</v>
      </c>
    </row>
    <row r="208" spans="1:12" ht="14.25">
      <c r="A208" s="640" t="s">
        <v>253</v>
      </c>
      <c r="B208" s="641"/>
      <c r="C208" s="181"/>
      <c r="D208" s="182"/>
      <c r="E208" s="182"/>
      <c r="F208" s="182"/>
      <c r="G208" s="182"/>
      <c r="H208" s="182"/>
      <c r="I208" s="182"/>
      <c r="J208" s="182"/>
      <c r="K208" s="182"/>
      <c r="L208" s="183"/>
    </row>
    <row r="209" spans="1:12" ht="22.5">
      <c r="A209" s="636" t="s">
        <v>254</v>
      </c>
      <c r="B209" s="637"/>
      <c r="C209" s="111" t="s">
        <v>202</v>
      </c>
      <c r="D209" s="173">
        <v>86</v>
      </c>
      <c r="E209" s="173" t="s">
        <v>104</v>
      </c>
      <c r="F209" s="173">
        <v>1</v>
      </c>
      <c r="G209" s="173">
        <v>0.26</v>
      </c>
      <c r="H209" s="173">
        <v>0.6</v>
      </c>
      <c r="I209" s="173">
        <v>1.33</v>
      </c>
      <c r="J209" s="173">
        <v>1.6</v>
      </c>
      <c r="K209" s="173">
        <v>0.25</v>
      </c>
      <c r="L209" s="174">
        <v>0.41</v>
      </c>
    </row>
    <row r="210" spans="1:12" ht="22.5">
      <c r="A210" s="636" t="s">
        <v>255</v>
      </c>
      <c r="B210" s="637"/>
      <c r="C210" s="111" t="s">
        <v>202</v>
      </c>
      <c r="D210" s="173">
        <v>100</v>
      </c>
      <c r="E210" s="173" t="s">
        <v>104</v>
      </c>
      <c r="F210" s="173">
        <v>1</v>
      </c>
      <c r="G210" s="173">
        <v>0.25</v>
      </c>
      <c r="H210" s="173">
        <v>0.56999999999999995</v>
      </c>
      <c r="I210" s="173">
        <v>1.5</v>
      </c>
      <c r="J210" s="173">
        <v>1.81</v>
      </c>
      <c r="K210" s="173">
        <v>0.25</v>
      </c>
      <c r="L210" s="174">
        <v>0.41</v>
      </c>
    </row>
    <row r="211" spans="1:12">
      <c r="A211" s="642" t="s">
        <v>256</v>
      </c>
      <c r="B211" s="643"/>
      <c r="C211" s="654" t="s">
        <v>202</v>
      </c>
      <c r="D211" s="650">
        <v>80</v>
      </c>
      <c r="E211" s="650" t="s">
        <v>104</v>
      </c>
      <c r="F211" s="650">
        <v>0.15</v>
      </c>
      <c r="G211" s="650">
        <v>0.05</v>
      </c>
      <c r="H211" s="650">
        <v>0.12</v>
      </c>
      <c r="I211" s="650">
        <v>0.5</v>
      </c>
      <c r="J211" s="650">
        <v>0.6</v>
      </c>
      <c r="K211" s="650">
        <v>0.15</v>
      </c>
      <c r="L211" s="652">
        <v>0.25</v>
      </c>
    </row>
    <row r="212" spans="1:12">
      <c r="A212" s="646" t="s">
        <v>257</v>
      </c>
      <c r="B212" s="647"/>
      <c r="C212" s="655"/>
      <c r="D212" s="651"/>
      <c r="E212" s="651"/>
      <c r="F212" s="651"/>
      <c r="G212" s="651"/>
      <c r="H212" s="651"/>
      <c r="I212" s="651"/>
      <c r="J212" s="651"/>
      <c r="K212" s="651"/>
      <c r="L212" s="653"/>
    </row>
    <row r="213" spans="1:12" ht="14.25">
      <c r="A213" s="640" t="s">
        <v>258</v>
      </c>
      <c r="B213" s="641"/>
      <c r="C213" s="181"/>
      <c r="D213" s="182"/>
      <c r="E213" s="182"/>
      <c r="F213" s="182"/>
      <c r="G213" s="182"/>
      <c r="H213" s="182"/>
      <c r="I213" s="182"/>
      <c r="J213" s="182"/>
      <c r="K213" s="182"/>
      <c r="L213" s="183"/>
    </row>
    <row r="214" spans="1:12">
      <c r="A214" s="642" t="s">
        <v>259</v>
      </c>
      <c r="B214" s="643"/>
      <c r="C214" s="175" t="s">
        <v>260</v>
      </c>
      <c r="D214" s="170">
        <v>22</v>
      </c>
      <c r="E214" s="170" t="s">
        <v>104</v>
      </c>
      <c r="F214" s="170">
        <v>0.43</v>
      </c>
      <c r="G214" s="170">
        <v>7.0000000000000007E-2</v>
      </c>
      <c r="H214" s="170">
        <v>0.16</v>
      </c>
      <c r="I214" s="170">
        <v>0.5</v>
      </c>
      <c r="J214" s="170">
        <v>0.6</v>
      </c>
      <c r="K214" s="170">
        <v>0.02</v>
      </c>
      <c r="L214" s="171">
        <v>0.04</v>
      </c>
    </row>
    <row r="215" spans="1:12">
      <c r="A215" s="644"/>
      <c r="B215" s="645"/>
      <c r="C215" s="175" t="s">
        <v>261</v>
      </c>
      <c r="D215" s="170">
        <v>15</v>
      </c>
      <c r="E215" s="170" t="s">
        <v>104</v>
      </c>
      <c r="F215" s="170">
        <v>0.2</v>
      </c>
      <c r="G215" s="170">
        <v>0.02</v>
      </c>
      <c r="H215" s="170">
        <v>0.04</v>
      </c>
      <c r="I215" s="170">
        <v>0.3</v>
      </c>
      <c r="J215" s="170">
        <v>0.36</v>
      </c>
      <c r="K215" s="170">
        <v>0.05</v>
      </c>
      <c r="L215" s="171">
        <v>0.08</v>
      </c>
    </row>
    <row r="216" spans="1:12" ht="33.75">
      <c r="A216" s="646"/>
      <c r="B216" s="647"/>
      <c r="C216" s="111" t="s">
        <v>262</v>
      </c>
      <c r="D216" s="173" t="s">
        <v>104</v>
      </c>
      <c r="E216" s="173">
        <v>0.2</v>
      </c>
      <c r="F216" s="173">
        <v>0.47</v>
      </c>
      <c r="G216" s="173">
        <v>7.0000000000000007E-2</v>
      </c>
      <c r="H216" s="173">
        <v>0.17</v>
      </c>
      <c r="I216" s="173">
        <v>0.56000000000000005</v>
      </c>
      <c r="J216" s="173">
        <v>0.67</v>
      </c>
      <c r="K216" s="173">
        <v>0.03</v>
      </c>
      <c r="L216" s="174">
        <v>0.06</v>
      </c>
    </row>
    <row r="217" spans="1:12">
      <c r="A217" s="642" t="s">
        <v>263</v>
      </c>
      <c r="B217" s="643"/>
      <c r="C217" s="175" t="s">
        <v>260</v>
      </c>
      <c r="D217" s="170">
        <v>22</v>
      </c>
      <c r="E217" s="170" t="s">
        <v>104</v>
      </c>
      <c r="F217" s="170">
        <v>0.35</v>
      </c>
      <c r="G217" s="170">
        <v>0.06</v>
      </c>
      <c r="H217" s="170">
        <v>0.14000000000000001</v>
      </c>
      <c r="I217" s="170">
        <v>0.5</v>
      </c>
      <c r="J217" s="170">
        <v>0.6</v>
      </c>
      <c r="K217" s="170">
        <v>0.02</v>
      </c>
      <c r="L217" s="171">
        <v>0.04</v>
      </c>
    </row>
    <row r="218" spans="1:12">
      <c r="A218" s="644"/>
      <c r="B218" s="645"/>
      <c r="C218" s="175" t="s">
        <v>261</v>
      </c>
      <c r="D218" s="170">
        <v>15</v>
      </c>
      <c r="E218" s="170" t="s">
        <v>104</v>
      </c>
      <c r="F218" s="170">
        <v>0.2</v>
      </c>
      <c r="G218" s="170">
        <v>0.02</v>
      </c>
      <c r="H218" s="170">
        <v>0.04</v>
      </c>
      <c r="I218" s="170">
        <v>0.3</v>
      </c>
      <c r="J218" s="170">
        <v>0.36</v>
      </c>
      <c r="K218" s="170">
        <v>0.05</v>
      </c>
      <c r="L218" s="171">
        <v>0.08</v>
      </c>
    </row>
    <row r="219" spans="1:12" ht="33.75">
      <c r="A219" s="646"/>
      <c r="B219" s="647"/>
      <c r="C219" s="111" t="s">
        <v>262</v>
      </c>
      <c r="D219" s="173" t="s">
        <v>104</v>
      </c>
      <c r="E219" s="173">
        <v>0.2</v>
      </c>
      <c r="F219" s="173">
        <v>0.39</v>
      </c>
      <c r="G219" s="173">
        <v>0.06</v>
      </c>
      <c r="H219" s="173">
        <v>0.15</v>
      </c>
      <c r="I219" s="173">
        <v>0.56000000000000005</v>
      </c>
      <c r="J219" s="173">
        <v>0.67</v>
      </c>
      <c r="K219" s="173">
        <v>0.03</v>
      </c>
      <c r="L219" s="174">
        <v>0.06</v>
      </c>
    </row>
    <row r="220" spans="1:12">
      <c r="A220" s="642" t="s">
        <v>264</v>
      </c>
      <c r="B220" s="643"/>
      <c r="C220" s="175" t="s">
        <v>265</v>
      </c>
      <c r="D220" s="170">
        <v>23</v>
      </c>
      <c r="E220" s="170" t="s">
        <v>104</v>
      </c>
      <c r="F220" s="170">
        <v>0.18</v>
      </c>
      <c r="G220" s="170">
        <v>0.04</v>
      </c>
      <c r="H220" s="170">
        <v>0.1</v>
      </c>
      <c r="I220" s="170">
        <v>0.21</v>
      </c>
      <c r="J220" s="170">
        <v>0.25</v>
      </c>
      <c r="K220" s="170">
        <v>0.05</v>
      </c>
      <c r="L220" s="171">
        <v>0.08</v>
      </c>
    </row>
    <row r="221" spans="1:12">
      <c r="A221" s="644"/>
      <c r="B221" s="645"/>
      <c r="C221" s="175" t="s">
        <v>266</v>
      </c>
      <c r="D221" s="170">
        <v>18</v>
      </c>
      <c r="E221" s="170" t="s">
        <v>104</v>
      </c>
      <c r="F221" s="170">
        <v>0.4</v>
      </c>
      <c r="G221" s="170">
        <v>0.05</v>
      </c>
      <c r="H221" s="170">
        <v>0.11</v>
      </c>
      <c r="I221" s="170">
        <v>0.5</v>
      </c>
      <c r="J221" s="170">
        <v>0.6</v>
      </c>
      <c r="K221" s="170">
        <v>0.06</v>
      </c>
      <c r="L221" s="171">
        <v>0.1</v>
      </c>
    </row>
    <row r="222" spans="1:12" ht="22.5">
      <c r="A222" s="646"/>
      <c r="B222" s="647"/>
      <c r="C222" s="111" t="s">
        <v>267</v>
      </c>
      <c r="D222" s="173" t="s">
        <v>104</v>
      </c>
      <c r="E222" s="173">
        <v>0.7</v>
      </c>
      <c r="F222" s="173">
        <v>0.46</v>
      </c>
      <c r="G222" s="173">
        <v>0.08</v>
      </c>
      <c r="H222" s="173">
        <v>0.18</v>
      </c>
      <c r="I222" s="173">
        <v>0.56000000000000005</v>
      </c>
      <c r="J222" s="173">
        <v>0.67</v>
      </c>
      <c r="K222" s="173">
        <v>0.09</v>
      </c>
      <c r="L222" s="174">
        <v>0.15</v>
      </c>
    </row>
    <row r="223" spans="1:12">
      <c r="A223" s="642" t="s">
        <v>268</v>
      </c>
      <c r="B223" s="643"/>
      <c r="C223" s="175" t="s">
        <v>265</v>
      </c>
      <c r="D223" s="170">
        <v>15</v>
      </c>
      <c r="E223" s="170" t="s">
        <v>104</v>
      </c>
      <c r="F223" s="170">
        <v>0.18</v>
      </c>
      <c r="G223" s="170">
        <v>0.04</v>
      </c>
      <c r="H223" s="170">
        <v>0.09</v>
      </c>
      <c r="I223" s="170">
        <v>0.42</v>
      </c>
      <c r="J223" s="170">
        <v>0.5</v>
      </c>
      <c r="K223" s="170">
        <v>0.03</v>
      </c>
      <c r="L223" s="171">
        <v>0.05</v>
      </c>
    </row>
    <row r="224" spans="1:12">
      <c r="A224" s="644"/>
      <c r="B224" s="645"/>
      <c r="C224" s="175" t="s">
        <v>266</v>
      </c>
      <c r="D224" s="170">
        <v>16</v>
      </c>
      <c r="E224" s="170" t="s">
        <v>104</v>
      </c>
      <c r="F224" s="170">
        <v>0.3</v>
      </c>
      <c r="G224" s="170">
        <v>0.03</v>
      </c>
      <c r="H224" s="170">
        <v>0.08</v>
      </c>
      <c r="I224" s="170">
        <v>0.42</v>
      </c>
      <c r="J224" s="170">
        <v>0.5</v>
      </c>
      <c r="K224" s="170">
        <v>0.05</v>
      </c>
      <c r="L224" s="171">
        <v>0.08</v>
      </c>
    </row>
    <row r="225" spans="1:12" ht="22.5">
      <c r="A225" s="646"/>
      <c r="B225" s="647"/>
      <c r="C225" s="111" t="s">
        <v>267</v>
      </c>
      <c r="D225" s="173" t="s">
        <v>104</v>
      </c>
      <c r="E225" s="173">
        <v>0.4</v>
      </c>
      <c r="F225" s="173">
        <v>0.3</v>
      </c>
      <c r="G225" s="173">
        <v>0.05</v>
      </c>
      <c r="H225" s="173">
        <v>0.12</v>
      </c>
      <c r="I225" s="173">
        <v>0.57999999999999996</v>
      </c>
      <c r="J225" s="173">
        <v>0.7</v>
      </c>
      <c r="K225" s="173">
        <v>0.05</v>
      </c>
      <c r="L225" s="174">
        <v>0.08</v>
      </c>
    </row>
    <row r="226" spans="1:12">
      <c r="A226" s="642" t="s">
        <v>269</v>
      </c>
      <c r="B226" s="643"/>
      <c r="C226" s="175" t="s">
        <v>265</v>
      </c>
      <c r="D226" s="170">
        <v>15</v>
      </c>
      <c r="E226" s="170" t="s">
        <v>104</v>
      </c>
      <c r="F226" s="170">
        <v>0.14000000000000001</v>
      </c>
      <c r="G226" s="170">
        <v>0.03</v>
      </c>
      <c r="H226" s="170">
        <v>7.0000000000000007E-2</v>
      </c>
      <c r="I226" s="170">
        <v>0.37</v>
      </c>
      <c r="J226" s="170">
        <v>0.45</v>
      </c>
      <c r="K226" s="170">
        <v>0.03</v>
      </c>
      <c r="L226" s="171">
        <v>0.05</v>
      </c>
    </row>
    <row r="227" spans="1:12">
      <c r="A227" s="644"/>
      <c r="B227" s="645"/>
      <c r="C227" s="175" t="s">
        <v>266</v>
      </c>
      <c r="D227" s="170">
        <v>16</v>
      </c>
      <c r="E227" s="170" t="s">
        <v>104</v>
      </c>
      <c r="F227" s="170">
        <v>0.25</v>
      </c>
      <c r="G227" s="170">
        <v>0.02</v>
      </c>
      <c r="H227" s="170">
        <v>0.06</v>
      </c>
      <c r="I227" s="170">
        <v>0.33</v>
      </c>
      <c r="J227" s="170">
        <v>0.4</v>
      </c>
      <c r="K227" s="170">
        <v>0.08</v>
      </c>
      <c r="L227" s="171">
        <v>0.13</v>
      </c>
    </row>
    <row r="228" spans="1:12" ht="22.5">
      <c r="A228" s="646"/>
      <c r="B228" s="647"/>
      <c r="C228" s="111" t="s">
        <v>267</v>
      </c>
      <c r="D228" s="173" t="s">
        <v>104</v>
      </c>
      <c r="E228" s="173">
        <v>0.4</v>
      </c>
      <c r="F228" s="173">
        <v>0.24</v>
      </c>
      <c r="G228" s="173">
        <v>0.04</v>
      </c>
      <c r="H228" s="173">
        <v>0.09</v>
      </c>
      <c r="I228" s="173">
        <v>0.51</v>
      </c>
      <c r="J228" s="173">
        <v>0.61</v>
      </c>
      <c r="K228" s="173">
        <v>0.06</v>
      </c>
      <c r="L228" s="174">
        <v>0.1</v>
      </c>
    </row>
    <row r="229" spans="1:12" ht="14.25">
      <c r="A229" s="640" t="s">
        <v>270</v>
      </c>
      <c r="B229" s="641"/>
      <c r="C229" s="641"/>
      <c r="D229" s="182"/>
      <c r="E229" s="182"/>
      <c r="F229" s="182"/>
      <c r="G229" s="182"/>
      <c r="H229" s="182"/>
      <c r="I229" s="182"/>
      <c r="J229" s="182"/>
      <c r="K229" s="182"/>
      <c r="L229" s="183"/>
    </row>
    <row r="230" spans="1:12" ht="22.5">
      <c r="A230" s="185" t="s">
        <v>271</v>
      </c>
      <c r="B230" s="186"/>
      <c r="C230" s="111" t="s">
        <v>202</v>
      </c>
      <c r="D230" s="173">
        <v>32</v>
      </c>
      <c r="E230" s="173" t="s">
        <v>104</v>
      </c>
      <c r="F230" s="173">
        <v>0.43</v>
      </c>
      <c r="G230" s="173">
        <v>0.08</v>
      </c>
      <c r="H230" s="173">
        <v>0.18</v>
      </c>
      <c r="I230" s="173">
        <v>0.42</v>
      </c>
      <c r="J230" s="173">
        <v>0.51</v>
      </c>
      <c r="K230" s="173">
        <v>0.08</v>
      </c>
      <c r="L230" s="174">
        <v>0.13</v>
      </c>
    </row>
    <row r="231" spans="1:12" ht="22.5">
      <c r="A231" s="185" t="s">
        <v>272</v>
      </c>
      <c r="B231" s="186"/>
      <c r="C231" s="111" t="s">
        <v>202</v>
      </c>
      <c r="D231" s="173">
        <v>20</v>
      </c>
      <c r="E231" s="173" t="s">
        <v>104</v>
      </c>
      <c r="F231" s="173">
        <v>0.48</v>
      </c>
      <c r="G231" s="173">
        <v>7.0000000000000007E-2</v>
      </c>
      <c r="H231" s="173">
        <v>0.16</v>
      </c>
      <c r="I231" s="173">
        <v>0.54</v>
      </c>
      <c r="J231" s="173">
        <v>0.65</v>
      </c>
      <c r="K231" s="173">
        <v>0.05</v>
      </c>
      <c r="L231" s="174">
        <v>0.08</v>
      </c>
    </row>
    <row r="232" spans="1:12" ht="22.5">
      <c r="A232" s="636" t="s">
        <v>273</v>
      </c>
      <c r="B232" s="637"/>
      <c r="C232" s="111" t="s">
        <v>202</v>
      </c>
      <c r="D232" s="173">
        <v>20</v>
      </c>
      <c r="E232" s="173" t="s">
        <v>104</v>
      </c>
      <c r="F232" s="173">
        <v>0.45</v>
      </c>
      <c r="G232" s="173">
        <v>0.06</v>
      </c>
      <c r="H232" s="173">
        <v>0.14000000000000001</v>
      </c>
      <c r="I232" s="173">
        <v>0.39</v>
      </c>
      <c r="J232" s="173">
        <v>0.47</v>
      </c>
      <c r="K232" s="173">
        <v>0.03</v>
      </c>
      <c r="L232" s="174">
        <v>0.05</v>
      </c>
    </row>
    <row r="233" spans="1:12" ht="22.5">
      <c r="A233" s="636" t="s">
        <v>274</v>
      </c>
      <c r="B233" s="637"/>
      <c r="C233" s="111" t="s">
        <v>202</v>
      </c>
      <c r="D233" s="173">
        <v>20</v>
      </c>
      <c r="E233" s="173" t="s">
        <v>104</v>
      </c>
      <c r="F233" s="173">
        <v>0.45</v>
      </c>
      <c r="G233" s="173">
        <v>0.06</v>
      </c>
      <c r="H233" s="173">
        <v>0.14000000000000001</v>
      </c>
      <c r="I233" s="173">
        <v>0.39</v>
      </c>
      <c r="J233" s="173">
        <v>0.47</v>
      </c>
      <c r="K233" s="173">
        <v>0.03</v>
      </c>
      <c r="L233" s="174">
        <v>0.05</v>
      </c>
    </row>
    <row r="234" spans="1:12" ht="22.5">
      <c r="A234" s="636" t="s">
        <v>275</v>
      </c>
      <c r="B234" s="637"/>
      <c r="C234" s="111" t="s">
        <v>202</v>
      </c>
      <c r="D234" s="173">
        <v>20</v>
      </c>
      <c r="E234" s="173" t="s">
        <v>104</v>
      </c>
      <c r="F234" s="173">
        <v>0.4</v>
      </c>
      <c r="G234" s="173">
        <v>0.06</v>
      </c>
      <c r="H234" s="173">
        <v>0.14000000000000001</v>
      </c>
      <c r="I234" s="173">
        <v>0.48</v>
      </c>
      <c r="J234" s="173">
        <v>0.57999999999999996</v>
      </c>
      <c r="K234" s="173">
        <v>0.03</v>
      </c>
      <c r="L234" s="174">
        <v>0.05</v>
      </c>
    </row>
    <row r="235" spans="1:12" ht="22.5">
      <c r="A235" s="636" t="s">
        <v>276</v>
      </c>
      <c r="B235" s="637"/>
      <c r="C235" s="111" t="s">
        <v>202</v>
      </c>
      <c r="D235" s="173">
        <v>20</v>
      </c>
      <c r="E235" s="173" t="s">
        <v>104</v>
      </c>
      <c r="F235" s="173">
        <v>0.45</v>
      </c>
      <c r="G235" s="173">
        <v>0.06</v>
      </c>
      <c r="H235" s="173">
        <v>0.14000000000000001</v>
      </c>
      <c r="I235" s="173">
        <v>0.4</v>
      </c>
      <c r="J235" s="173">
        <v>0.48</v>
      </c>
      <c r="K235" s="173">
        <v>0.03</v>
      </c>
      <c r="L235" s="174">
        <v>0.05</v>
      </c>
    </row>
    <row r="236" spans="1:12" ht="23.25" thickBot="1">
      <c r="A236" s="187" t="s">
        <v>90</v>
      </c>
      <c r="B236" s="188"/>
      <c r="C236" s="176" t="s">
        <v>202</v>
      </c>
      <c r="D236" s="177">
        <v>35</v>
      </c>
      <c r="E236" s="177" t="s">
        <v>104</v>
      </c>
      <c r="F236" s="177">
        <v>0.56000000000000005</v>
      </c>
      <c r="G236" s="177">
        <v>0.17</v>
      </c>
      <c r="H236" s="177">
        <v>0.4</v>
      </c>
      <c r="I236" s="177">
        <v>0.57999999999999996</v>
      </c>
      <c r="J236" s="177">
        <v>0.7</v>
      </c>
      <c r="K236" s="177">
        <v>0.1</v>
      </c>
      <c r="L236" s="179">
        <v>0.17</v>
      </c>
    </row>
    <row r="237" spans="1:12" ht="15" thickTop="1">
      <c r="A237" s="648" t="s">
        <v>277</v>
      </c>
      <c r="B237" s="649"/>
      <c r="C237" s="649"/>
      <c r="D237" s="649"/>
      <c r="E237" s="649"/>
      <c r="F237" s="182"/>
      <c r="G237" s="182"/>
      <c r="H237" s="182"/>
      <c r="I237" s="182"/>
      <c r="J237" s="182"/>
      <c r="K237" s="182"/>
      <c r="L237" s="183"/>
    </row>
    <row r="238" spans="1:12" ht="22.5">
      <c r="A238" s="636" t="s">
        <v>278</v>
      </c>
      <c r="B238" s="637"/>
      <c r="C238" s="111" t="s">
        <v>202</v>
      </c>
      <c r="D238" s="173">
        <v>20</v>
      </c>
      <c r="E238" s="173" t="s">
        <v>104</v>
      </c>
      <c r="F238" s="173">
        <v>0.51</v>
      </c>
      <c r="G238" s="173">
        <v>0.06</v>
      </c>
      <c r="H238" s="173">
        <v>0.14000000000000001</v>
      </c>
      <c r="I238" s="173">
        <v>0.51</v>
      </c>
      <c r="J238" s="173">
        <v>0.62</v>
      </c>
      <c r="K238" s="173">
        <v>0.06</v>
      </c>
      <c r="L238" s="174">
        <v>0.1</v>
      </c>
    </row>
    <row r="239" spans="1:12" ht="22.5">
      <c r="A239" s="636" t="s">
        <v>279</v>
      </c>
      <c r="B239" s="637"/>
      <c r="C239" s="111" t="s">
        <v>202</v>
      </c>
      <c r="D239" s="173">
        <v>20</v>
      </c>
      <c r="E239" s="173" t="s">
        <v>104</v>
      </c>
      <c r="F239" s="173">
        <v>0.52</v>
      </c>
      <c r="G239" s="173">
        <v>0.06</v>
      </c>
      <c r="H239" s="173">
        <v>0.14000000000000001</v>
      </c>
      <c r="I239" s="173">
        <v>0.51</v>
      </c>
      <c r="J239" s="173">
        <v>0.62</v>
      </c>
      <c r="K239" s="173">
        <v>0.06</v>
      </c>
      <c r="L239" s="174">
        <v>0.1</v>
      </c>
    </row>
    <row r="240" spans="1:12" ht="22.5">
      <c r="A240" s="636" t="s">
        <v>280</v>
      </c>
      <c r="B240" s="637"/>
      <c r="C240" s="111" t="s">
        <v>202</v>
      </c>
      <c r="D240" s="173">
        <v>20</v>
      </c>
      <c r="E240" s="173" t="s">
        <v>104</v>
      </c>
      <c r="F240" s="173">
        <v>0.53</v>
      </c>
      <c r="G240" s="173">
        <v>0.06</v>
      </c>
      <c r="H240" s="173">
        <v>0.14000000000000001</v>
      </c>
      <c r="I240" s="173">
        <v>0.51</v>
      </c>
      <c r="J240" s="173">
        <v>0.62</v>
      </c>
      <c r="K240" s="173">
        <v>0.06</v>
      </c>
      <c r="L240" s="174">
        <v>0.1</v>
      </c>
    </row>
    <row r="241" spans="1:12" ht="22.5">
      <c r="A241" s="636" t="s">
        <v>281</v>
      </c>
      <c r="B241" s="637"/>
      <c r="C241" s="111" t="s">
        <v>202</v>
      </c>
      <c r="D241" s="173">
        <v>20</v>
      </c>
      <c r="E241" s="173" t="s">
        <v>104</v>
      </c>
      <c r="F241" s="173">
        <v>0.53</v>
      </c>
      <c r="G241" s="173">
        <v>7.0000000000000007E-2</v>
      </c>
      <c r="H241" s="173">
        <v>0.15</v>
      </c>
      <c r="I241" s="173">
        <v>0.54</v>
      </c>
      <c r="J241" s="173">
        <v>0.65</v>
      </c>
      <c r="K241" s="173">
        <v>0.05</v>
      </c>
      <c r="L241" s="174">
        <v>0.08</v>
      </c>
    </row>
    <row r="242" spans="1:12" ht="22.5">
      <c r="A242" s="636" t="s">
        <v>282</v>
      </c>
      <c r="B242" s="637"/>
      <c r="C242" s="111" t="s">
        <v>202</v>
      </c>
      <c r="D242" s="173">
        <v>20</v>
      </c>
      <c r="E242" s="173" t="s">
        <v>104</v>
      </c>
      <c r="F242" s="173">
        <v>0.54</v>
      </c>
      <c r="G242" s="173">
        <v>7.0000000000000007E-2</v>
      </c>
      <c r="H242" s="173">
        <v>0.15</v>
      </c>
      <c r="I242" s="173">
        <v>0.54</v>
      </c>
      <c r="J242" s="173">
        <v>0.65</v>
      </c>
      <c r="K242" s="173">
        <v>0.05</v>
      </c>
      <c r="L242" s="174">
        <v>0.08</v>
      </c>
    </row>
    <row r="243" spans="1:12" ht="22.5">
      <c r="A243" s="636" t="s">
        <v>283</v>
      </c>
      <c r="B243" s="637"/>
      <c r="C243" s="111" t="s">
        <v>202</v>
      </c>
      <c r="D243" s="173">
        <v>20</v>
      </c>
      <c r="E243" s="173" t="s">
        <v>104</v>
      </c>
      <c r="F243" s="173">
        <v>0.55000000000000004</v>
      </c>
      <c r="G243" s="173">
        <v>7.0000000000000007E-2</v>
      </c>
      <c r="H243" s="173">
        <v>0.15</v>
      </c>
      <c r="I243" s="173">
        <v>0.54</v>
      </c>
      <c r="J243" s="173">
        <v>0.65</v>
      </c>
      <c r="K243" s="173">
        <v>0.05</v>
      </c>
      <c r="L243" s="174">
        <v>0.08</v>
      </c>
    </row>
    <row r="244" spans="1:12" ht="22.5">
      <c r="A244" s="636" t="s">
        <v>284</v>
      </c>
      <c r="B244" s="637"/>
      <c r="C244" s="111" t="s">
        <v>202</v>
      </c>
      <c r="D244" s="173">
        <v>20</v>
      </c>
      <c r="E244" s="173" t="s">
        <v>104</v>
      </c>
      <c r="F244" s="173">
        <v>0.4</v>
      </c>
      <c r="G244" s="173">
        <v>7.0000000000000007E-2</v>
      </c>
      <c r="H244" s="173">
        <v>0.16</v>
      </c>
      <c r="I244" s="173">
        <v>0.48</v>
      </c>
      <c r="J244" s="173">
        <v>0.57999999999999996</v>
      </c>
      <c r="K244" s="173">
        <v>0.03</v>
      </c>
      <c r="L244" s="174">
        <v>0.05</v>
      </c>
    </row>
    <row r="245" spans="1:12" ht="14.25">
      <c r="A245" s="640" t="s">
        <v>285</v>
      </c>
      <c r="B245" s="641"/>
      <c r="C245" s="641"/>
      <c r="D245" s="182"/>
      <c r="E245" s="182"/>
      <c r="F245" s="182"/>
      <c r="G245" s="182"/>
      <c r="H245" s="182"/>
      <c r="I245" s="182"/>
      <c r="J245" s="182"/>
      <c r="K245" s="182"/>
      <c r="L245" s="183"/>
    </row>
    <row r="246" spans="1:12" ht="22.5">
      <c r="A246" s="636" t="s">
        <v>286</v>
      </c>
      <c r="B246" s="637"/>
      <c r="C246" s="111" t="s">
        <v>202</v>
      </c>
      <c r="D246" s="173">
        <v>20</v>
      </c>
      <c r="E246" s="173" t="s">
        <v>104</v>
      </c>
      <c r="F246" s="173">
        <v>0.55000000000000004</v>
      </c>
      <c r="G246" s="173">
        <v>0.06</v>
      </c>
      <c r="H246" s="173">
        <v>0.13</v>
      </c>
      <c r="I246" s="173">
        <v>0.5</v>
      </c>
      <c r="J246" s="173">
        <v>0.6</v>
      </c>
      <c r="K246" s="173">
        <v>0.04</v>
      </c>
      <c r="L246" s="174">
        <v>7.0000000000000007E-2</v>
      </c>
    </row>
    <row r="247" spans="1:12" ht="22.5">
      <c r="A247" s="636" t="s">
        <v>287</v>
      </c>
      <c r="B247" s="637"/>
      <c r="C247" s="111" t="s">
        <v>202</v>
      </c>
      <c r="D247" s="173">
        <v>20</v>
      </c>
      <c r="E247" s="173" t="s">
        <v>104</v>
      </c>
      <c r="F247" s="173">
        <v>0.6</v>
      </c>
      <c r="G247" s="173">
        <v>0.06</v>
      </c>
      <c r="H247" s="173">
        <v>0.14000000000000001</v>
      </c>
      <c r="I247" s="173">
        <v>0.54</v>
      </c>
      <c r="J247" s="173">
        <v>0.65</v>
      </c>
      <c r="K247" s="173">
        <v>0.03</v>
      </c>
      <c r="L247" s="174">
        <v>0.05</v>
      </c>
    </row>
    <row r="248" spans="1:12" ht="22.5">
      <c r="A248" s="185" t="s">
        <v>288</v>
      </c>
      <c r="B248" s="186"/>
      <c r="C248" s="111" t="s">
        <v>202</v>
      </c>
      <c r="D248" s="173">
        <v>20</v>
      </c>
      <c r="E248" s="173" t="s">
        <v>104</v>
      </c>
      <c r="F248" s="173">
        <v>0.55000000000000004</v>
      </c>
      <c r="G248" s="173">
        <v>0.06</v>
      </c>
      <c r="H248" s="173">
        <v>0.13</v>
      </c>
      <c r="I248" s="173">
        <v>0.5</v>
      </c>
      <c r="J248" s="173">
        <v>0.6</v>
      </c>
      <c r="K248" s="173">
        <v>0.04</v>
      </c>
      <c r="L248" s="174">
        <v>7.0000000000000007E-2</v>
      </c>
    </row>
    <row r="249" spans="1:12" ht="22.5">
      <c r="A249" s="185" t="s">
        <v>289</v>
      </c>
      <c r="B249" s="186"/>
      <c r="C249" s="111" t="s">
        <v>202</v>
      </c>
      <c r="D249" s="173">
        <v>20</v>
      </c>
      <c r="E249" s="173" t="s">
        <v>104</v>
      </c>
      <c r="F249" s="173">
        <v>0.45</v>
      </c>
      <c r="G249" s="173">
        <v>0.06</v>
      </c>
      <c r="H249" s="173">
        <v>0.14000000000000001</v>
      </c>
      <c r="I249" s="173">
        <v>0.39</v>
      </c>
      <c r="J249" s="173">
        <v>0.47</v>
      </c>
      <c r="K249" s="173">
        <v>0.03</v>
      </c>
      <c r="L249" s="174">
        <v>0.05</v>
      </c>
    </row>
    <row r="250" spans="1:12" ht="22.5">
      <c r="A250" s="636" t="s">
        <v>290</v>
      </c>
      <c r="B250" s="637"/>
      <c r="C250" s="111" t="s">
        <v>202</v>
      </c>
      <c r="D250" s="173">
        <v>20</v>
      </c>
      <c r="E250" s="173" t="s">
        <v>104</v>
      </c>
      <c r="F250" s="173">
        <v>0.48</v>
      </c>
      <c r="G250" s="173">
        <v>0.06</v>
      </c>
      <c r="H250" s="173">
        <v>0.14000000000000001</v>
      </c>
      <c r="I250" s="173">
        <v>0.39</v>
      </c>
      <c r="J250" s="173">
        <v>0.47</v>
      </c>
      <c r="K250" s="173">
        <v>0.03</v>
      </c>
      <c r="L250" s="174">
        <v>0.05</v>
      </c>
    </row>
    <row r="251" spans="1:12" ht="22.5">
      <c r="A251" s="636" t="s">
        <v>291</v>
      </c>
      <c r="B251" s="637"/>
      <c r="C251" s="111" t="s">
        <v>202</v>
      </c>
      <c r="D251" s="173">
        <v>20</v>
      </c>
      <c r="E251" s="173" t="s">
        <v>104</v>
      </c>
      <c r="F251" s="173">
        <v>0.48</v>
      </c>
      <c r="G251" s="173">
        <v>0.06</v>
      </c>
      <c r="H251" s="173">
        <v>0.14000000000000001</v>
      </c>
      <c r="I251" s="173">
        <v>0.39</v>
      </c>
      <c r="J251" s="173">
        <v>0.47</v>
      </c>
      <c r="K251" s="173">
        <v>0.03</v>
      </c>
      <c r="L251" s="174">
        <v>0.05</v>
      </c>
    </row>
    <row r="252" spans="1:12" ht="22.5">
      <c r="A252" s="636" t="s">
        <v>292</v>
      </c>
      <c r="B252" s="637"/>
      <c r="C252" s="111" t="s">
        <v>202</v>
      </c>
      <c r="D252" s="173">
        <v>20</v>
      </c>
      <c r="E252" s="173" t="s">
        <v>104</v>
      </c>
      <c r="F252" s="173">
        <v>0.5</v>
      </c>
      <c r="G252" s="173">
        <v>0.06</v>
      </c>
      <c r="H252" s="173">
        <v>0.14000000000000001</v>
      </c>
      <c r="I252" s="173">
        <v>0.39</v>
      </c>
      <c r="J252" s="173">
        <v>0.47</v>
      </c>
      <c r="K252" s="173">
        <v>0.03</v>
      </c>
      <c r="L252" s="174">
        <v>0.05</v>
      </c>
    </row>
    <row r="253" spans="1:12" ht="22.5">
      <c r="A253" s="636" t="s">
        <v>293</v>
      </c>
      <c r="B253" s="637"/>
      <c r="C253" s="111" t="s">
        <v>202</v>
      </c>
      <c r="D253" s="173">
        <v>20</v>
      </c>
      <c r="E253" s="173" t="s">
        <v>104</v>
      </c>
      <c r="F253" s="173">
        <v>0.48</v>
      </c>
      <c r="G253" s="173">
        <v>0.06</v>
      </c>
      <c r="H253" s="173">
        <v>0.14000000000000001</v>
      </c>
      <c r="I253" s="173">
        <v>0.39</v>
      </c>
      <c r="J253" s="173">
        <v>0.47</v>
      </c>
      <c r="K253" s="173">
        <v>0.03</v>
      </c>
      <c r="L253" s="174">
        <v>0.05</v>
      </c>
    </row>
    <row r="254" spans="1:12" ht="14.25">
      <c r="A254" s="640" t="s">
        <v>294</v>
      </c>
      <c r="B254" s="641"/>
      <c r="C254" s="641"/>
      <c r="D254" s="182"/>
      <c r="E254" s="182"/>
      <c r="F254" s="182"/>
      <c r="G254" s="182"/>
      <c r="H254" s="182"/>
      <c r="I254" s="182"/>
      <c r="J254" s="182"/>
      <c r="K254" s="182"/>
      <c r="L254" s="183"/>
    </row>
    <row r="255" spans="1:12">
      <c r="A255" s="642" t="s">
        <v>295</v>
      </c>
      <c r="B255" s="643"/>
      <c r="C255" s="175" t="s">
        <v>296</v>
      </c>
      <c r="D255" s="170">
        <v>86</v>
      </c>
      <c r="E255" s="170" t="s">
        <v>104</v>
      </c>
      <c r="F255" s="170">
        <v>2.2000000000000002</v>
      </c>
      <c r="G255" s="170">
        <v>0.31</v>
      </c>
      <c r="H255" s="170">
        <v>0.7</v>
      </c>
      <c r="I255" s="170">
        <v>0.5</v>
      </c>
      <c r="J255" s="170">
        <v>0.6</v>
      </c>
      <c r="K255" s="170">
        <v>0.1</v>
      </c>
      <c r="L255" s="171">
        <v>0.17</v>
      </c>
    </row>
    <row r="256" spans="1:12">
      <c r="A256" s="644"/>
      <c r="B256" s="645"/>
      <c r="C256" s="175" t="s">
        <v>112</v>
      </c>
      <c r="D256" s="170">
        <v>86</v>
      </c>
      <c r="E256" s="170" t="s">
        <v>104</v>
      </c>
      <c r="F256" s="170">
        <v>1.5</v>
      </c>
      <c r="G256" s="170">
        <v>0.13</v>
      </c>
      <c r="H256" s="170">
        <v>0.3</v>
      </c>
      <c r="I256" s="170">
        <v>2.16</v>
      </c>
      <c r="J256" s="170">
        <v>2.6</v>
      </c>
      <c r="K256" s="170">
        <v>0.24</v>
      </c>
      <c r="L256" s="171">
        <v>0.4</v>
      </c>
    </row>
    <row r="257" spans="1:12" ht="33.75">
      <c r="A257" s="646"/>
      <c r="B257" s="647"/>
      <c r="C257" s="111" t="s">
        <v>297</v>
      </c>
      <c r="D257" s="173" t="s">
        <v>104</v>
      </c>
      <c r="E257" s="173">
        <v>8</v>
      </c>
      <c r="F257" s="173">
        <v>14.2</v>
      </c>
      <c r="G257" s="173">
        <v>1.35</v>
      </c>
      <c r="H257" s="173">
        <v>3.09</v>
      </c>
      <c r="I257" s="173">
        <v>17.78</v>
      </c>
      <c r="J257" s="173">
        <v>21.42</v>
      </c>
      <c r="K257" s="173">
        <v>2.0499999999999998</v>
      </c>
      <c r="L257" s="174">
        <v>3.38</v>
      </c>
    </row>
    <row r="258" spans="1:12">
      <c r="A258" s="642" t="s">
        <v>298</v>
      </c>
      <c r="B258" s="643"/>
      <c r="C258" s="175" t="s">
        <v>296</v>
      </c>
      <c r="D258" s="170">
        <v>86</v>
      </c>
      <c r="E258" s="170" t="s">
        <v>104</v>
      </c>
      <c r="F258" s="170">
        <v>5.5</v>
      </c>
      <c r="G258" s="170">
        <v>0.64</v>
      </c>
      <c r="H258" s="170">
        <v>1.46</v>
      </c>
      <c r="I258" s="170">
        <v>1.04</v>
      </c>
      <c r="J258" s="170">
        <v>1.25</v>
      </c>
      <c r="K258" s="170">
        <v>0.16</v>
      </c>
      <c r="L258" s="171">
        <v>0.27</v>
      </c>
    </row>
    <row r="259" spans="1:12">
      <c r="A259" s="644"/>
      <c r="B259" s="645"/>
      <c r="C259" s="175" t="s">
        <v>112</v>
      </c>
      <c r="D259" s="170">
        <v>86</v>
      </c>
      <c r="E259" s="170" t="s">
        <v>104</v>
      </c>
      <c r="F259" s="170">
        <v>1.5</v>
      </c>
      <c r="G259" s="170">
        <v>0.13</v>
      </c>
      <c r="H259" s="170">
        <v>0.3</v>
      </c>
      <c r="I259" s="170">
        <v>2.16</v>
      </c>
      <c r="J259" s="170">
        <v>2.6</v>
      </c>
      <c r="K259" s="170">
        <v>0.24</v>
      </c>
      <c r="L259" s="171">
        <v>0.4</v>
      </c>
    </row>
    <row r="260" spans="1:12" ht="33.75">
      <c r="A260" s="646"/>
      <c r="B260" s="647"/>
      <c r="C260" s="111" t="s">
        <v>297</v>
      </c>
      <c r="D260" s="173" t="s">
        <v>104</v>
      </c>
      <c r="E260" s="173">
        <v>8</v>
      </c>
      <c r="F260" s="173">
        <v>17.5</v>
      </c>
      <c r="G260" s="173">
        <v>1.68</v>
      </c>
      <c r="H260" s="173">
        <v>3.87</v>
      </c>
      <c r="I260" s="173">
        <v>18.3</v>
      </c>
      <c r="J260" s="173">
        <v>22.05</v>
      </c>
      <c r="K260" s="173">
        <v>2.1</v>
      </c>
      <c r="L260" s="174">
        <v>3.46</v>
      </c>
    </row>
    <row r="261" spans="1:12">
      <c r="A261" s="642" t="s">
        <v>289</v>
      </c>
      <c r="B261" s="643"/>
      <c r="C261" s="175" t="s">
        <v>296</v>
      </c>
      <c r="D261" s="170">
        <v>91</v>
      </c>
      <c r="E261" s="170" t="s">
        <v>104</v>
      </c>
      <c r="F261" s="170">
        <v>3.5</v>
      </c>
      <c r="G261" s="170">
        <v>0.64</v>
      </c>
      <c r="H261" s="170">
        <v>1.46</v>
      </c>
      <c r="I261" s="170">
        <v>1.04</v>
      </c>
      <c r="J261" s="170">
        <v>1.25</v>
      </c>
      <c r="K261" s="170">
        <v>0.16</v>
      </c>
      <c r="L261" s="171">
        <v>0.27</v>
      </c>
    </row>
    <row r="262" spans="1:12">
      <c r="A262" s="644"/>
      <c r="B262" s="645"/>
      <c r="C262" s="175" t="s">
        <v>112</v>
      </c>
      <c r="D262" s="170">
        <v>86</v>
      </c>
      <c r="E262" s="170" t="s">
        <v>104</v>
      </c>
      <c r="F262" s="170">
        <v>1.5</v>
      </c>
      <c r="G262" s="170">
        <v>0.13</v>
      </c>
      <c r="H262" s="170">
        <v>0.3</v>
      </c>
      <c r="I262" s="170">
        <v>2.16</v>
      </c>
      <c r="J262" s="170">
        <v>2.6</v>
      </c>
      <c r="K262" s="170">
        <v>0.24</v>
      </c>
      <c r="L262" s="171">
        <v>0.4</v>
      </c>
    </row>
    <row r="263" spans="1:12" ht="33.75">
      <c r="A263" s="646"/>
      <c r="B263" s="647"/>
      <c r="C263" s="111" t="s">
        <v>297</v>
      </c>
      <c r="D263" s="173" t="s">
        <v>104</v>
      </c>
      <c r="E263" s="173">
        <v>3</v>
      </c>
      <c r="F263" s="173">
        <v>8</v>
      </c>
      <c r="G263" s="173">
        <v>1.03</v>
      </c>
      <c r="H263" s="173">
        <v>2.36</v>
      </c>
      <c r="I263" s="173">
        <v>7.52</v>
      </c>
      <c r="J263" s="173">
        <v>9.0500000000000007</v>
      </c>
      <c r="K263" s="173">
        <v>0.88</v>
      </c>
      <c r="L263" s="174">
        <v>1.47</v>
      </c>
    </row>
    <row r="264" spans="1:12" ht="14.25">
      <c r="A264" s="640" t="s">
        <v>299</v>
      </c>
      <c r="B264" s="641"/>
      <c r="C264" s="641"/>
      <c r="D264" s="182"/>
      <c r="E264" s="182"/>
      <c r="F264" s="182"/>
      <c r="G264" s="182"/>
      <c r="H264" s="182"/>
      <c r="I264" s="182"/>
      <c r="J264" s="182"/>
      <c r="K264" s="182"/>
      <c r="L264" s="183"/>
    </row>
    <row r="265" spans="1:12" ht="33.75">
      <c r="A265" s="636" t="s">
        <v>300</v>
      </c>
      <c r="B265" s="637"/>
      <c r="C265" s="111" t="s">
        <v>301</v>
      </c>
      <c r="D265" s="173">
        <v>15</v>
      </c>
      <c r="E265" s="173" t="s">
        <v>104</v>
      </c>
      <c r="F265" s="173">
        <v>0.35</v>
      </c>
      <c r="G265" s="173">
        <v>0.05</v>
      </c>
      <c r="H265" s="173">
        <v>0.11</v>
      </c>
      <c r="I265" s="173">
        <v>0.37</v>
      </c>
      <c r="J265" s="173">
        <v>0.45</v>
      </c>
      <c r="K265" s="173">
        <v>7.0000000000000007E-2</v>
      </c>
      <c r="L265" s="174">
        <v>0.11</v>
      </c>
    </row>
    <row r="266" spans="1:12" ht="22.5">
      <c r="A266" s="636" t="s">
        <v>300</v>
      </c>
      <c r="B266" s="637"/>
      <c r="C266" s="111" t="s">
        <v>302</v>
      </c>
      <c r="D266" s="173">
        <v>15</v>
      </c>
      <c r="E266" s="173" t="s">
        <v>104</v>
      </c>
      <c r="F266" s="173">
        <v>0.55000000000000004</v>
      </c>
      <c r="G266" s="173">
        <v>7.0000000000000007E-2</v>
      </c>
      <c r="H266" s="173">
        <v>0.15</v>
      </c>
      <c r="I266" s="173">
        <v>0.54</v>
      </c>
      <c r="J266" s="173">
        <v>0.65</v>
      </c>
      <c r="K266" s="173">
        <v>7.0000000000000007E-2</v>
      </c>
      <c r="L266" s="174">
        <v>0.11</v>
      </c>
    </row>
    <row r="267" spans="1:12">
      <c r="A267" s="193" t="s">
        <v>303</v>
      </c>
      <c r="B267" s="194"/>
      <c r="C267" s="194"/>
      <c r="D267" s="194"/>
      <c r="E267" s="194"/>
      <c r="F267" s="194"/>
      <c r="G267" s="194"/>
      <c r="H267" s="194"/>
      <c r="I267" s="194"/>
      <c r="J267" s="194"/>
      <c r="K267" s="194"/>
      <c r="L267" s="196"/>
    </row>
    <row r="268" spans="1:12" ht="33.75">
      <c r="A268" s="636" t="s">
        <v>304</v>
      </c>
      <c r="B268" s="637"/>
      <c r="C268" s="111" t="s">
        <v>305</v>
      </c>
      <c r="D268" s="173">
        <v>100</v>
      </c>
      <c r="E268" s="173" t="s">
        <v>104</v>
      </c>
      <c r="F268" s="189">
        <v>1.3</v>
      </c>
      <c r="G268" s="189">
        <v>0.25</v>
      </c>
      <c r="H268" s="189">
        <v>0.56999999999999995</v>
      </c>
      <c r="I268" s="189">
        <v>1.25</v>
      </c>
      <c r="J268" s="189">
        <v>1.51</v>
      </c>
      <c r="K268" s="189">
        <v>0.17</v>
      </c>
      <c r="L268" s="190">
        <v>0.28000000000000003</v>
      </c>
    </row>
    <row r="269" spans="1:12" ht="33.75">
      <c r="A269" s="636" t="s">
        <v>306</v>
      </c>
      <c r="B269" s="637"/>
      <c r="C269" s="111" t="s">
        <v>307</v>
      </c>
      <c r="D269" s="173">
        <v>100</v>
      </c>
      <c r="E269" s="173" t="s">
        <v>104</v>
      </c>
      <c r="F269" s="189">
        <v>1.48</v>
      </c>
      <c r="G269" s="189">
        <v>0.26</v>
      </c>
      <c r="H269" s="189">
        <v>0.6</v>
      </c>
      <c r="I269" s="189">
        <v>1.37</v>
      </c>
      <c r="J269" s="189">
        <v>1.65</v>
      </c>
      <c r="K269" s="189">
        <v>0.19</v>
      </c>
      <c r="L269" s="190">
        <v>0.32</v>
      </c>
    </row>
    <row r="270" spans="1:12" ht="33.75">
      <c r="A270" s="636" t="s">
        <v>308</v>
      </c>
      <c r="B270" s="637"/>
      <c r="C270" s="111" t="s">
        <v>309</v>
      </c>
      <c r="D270" s="173">
        <v>100</v>
      </c>
      <c r="E270" s="173" t="s">
        <v>104</v>
      </c>
      <c r="F270" s="189">
        <v>2.25</v>
      </c>
      <c r="G270" s="189">
        <v>0.4</v>
      </c>
      <c r="H270" s="189">
        <v>0.92</v>
      </c>
      <c r="I270" s="189">
        <v>2.2999999999999998</v>
      </c>
      <c r="J270" s="189">
        <v>2.77</v>
      </c>
      <c r="K270" s="189">
        <v>0.25</v>
      </c>
      <c r="L270" s="190">
        <v>0.41</v>
      </c>
    </row>
    <row r="271" spans="1:12" ht="34.5" thickBot="1">
      <c r="A271" s="638" t="s">
        <v>310</v>
      </c>
      <c r="B271" s="639"/>
      <c r="C271" s="176" t="s">
        <v>311</v>
      </c>
      <c r="D271" s="177">
        <v>100</v>
      </c>
      <c r="E271" s="177" t="s">
        <v>104</v>
      </c>
      <c r="F271" s="191">
        <v>2.38</v>
      </c>
      <c r="G271" s="191">
        <v>0.43</v>
      </c>
      <c r="H271" s="191">
        <v>0.99</v>
      </c>
      <c r="I271" s="191">
        <v>2.38</v>
      </c>
      <c r="J271" s="191">
        <v>2.87</v>
      </c>
      <c r="K271" s="191">
        <v>0.24</v>
      </c>
      <c r="L271" s="192">
        <v>0.4</v>
      </c>
    </row>
    <row r="272" spans="1:12" ht="13.5" thickTop="1"/>
    <row r="277" spans="1:11">
      <c r="A277" t="s">
        <v>136</v>
      </c>
    </row>
    <row r="278" spans="1:11">
      <c r="A278" t="s">
        <v>131</v>
      </c>
    </row>
    <row r="279" spans="1:11">
      <c r="A279" t="s">
        <v>132</v>
      </c>
    </row>
    <row r="280" spans="1:11">
      <c r="A280" t="s">
        <v>133</v>
      </c>
    </row>
    <row r="281" spans="1:11">
      <c r="A281" t="s">
        <v>134</v>
      </c>
    </row>
    <row r="282" spans="1:11">
      <c r="A282" t="s">
        <v>135</v>
      </c>
    </row>
    <row r="283" spans="1:11" ht="25.5">
      <c r="A283" s="36" t="s">
        <v>0</v>
      </c>
      <c r="B283" s="37" t="s">
        <v>26</v>
      </c>
      <c r="C283" s="38"/>
      <c r="D283" s="39" t="s">
        <v>28</v>
      </c>
      <c r="E283" s="40" t="s">
        <v>21</v>
      </c>
      <c r="F283" s="615" t="s">
        <v>1</v>
      </c>
      <c r="G283" s="616"/>
      <c r="H283" s="616"/>
      <c r="I283" s="635"/>
      <c r="J283" s="42" t="s">
        <v>181</v>
      </c>
    </row>
    <row r="284" spans="1:11">
      <c r="A284" s="36"/>
      <c r="B284" s="36"/>
      <c r="C284" s="46"/>
      <c r="D284" s="47" t="s">
        <v>23</v>
      </c>
      <c r="E284" s="48" t="s">
        <v>25</v>
      </c>
      <c r="F284" s="49" t="s">
        <v>2</v>
      </c>
      <c r="G284" s="49" t="s">
        <v>3</v>
      </c>
      <c r="H284" s="50" t="s">
        <v>4</v>
      </c>
      <c r="I284" s="51" t="s">
        <v>151</v>
      </c>
      <c r="J284" s="51" t="s">
        <v>178</v>
      </c>
    </row>
    <row r="285" spans="1:11" ht="18">
      <c r="A285" s="34" t="s">
        <v>5</v>
      </c>
      <c r="B285" s="35"/>
      <c r="C285" s="35"/>
      <c r="D285" s="7"/>
      <c r="E285" s="7"/>
      <c r="F285" s="7"/>
      <c r="G285" s="7"/>
      <c r="H285" s="7"/>
      <c r="I285" s="9"/>
      <c r="J285" s="9"/>
    </row>
    <row r="286" spans="1:11">
      <c r="A286" s="108"/>
      <c r="D286" s="107" t="s">
        <v>93</v>
      </c>
    </row>
    <row r="287" spans="1:11">
      <c r="A287" s="107"/>
      <c r="D287" s="107" t="s">
        <v>122</v>
      </c>
      <c r="F287" t="s">
        <v>193</v>
      </c>
      <c r="G287" s="107" t="s">
        <v>3</v>
      </c>
      <c r="H287" s="107" t="s">
        <v>4</v>
      </c>
      <c r="I287" s="107" t="s">
        <v>127</v>
      </c>
      <c r="J287" s="107" t="s">
        <v>179</v>
      </c>
    </row>
    <row r="288" spans="1:11">
      <c r="A288" s="112" t="s">
        <v>13</v>
      </c>
      <c r="B288" s="109" t="s">
        <v>94</v>
      </c>
      <c r="C288" s="109"/>
      <c r="D288" s="125">
        <v>0.25</v>
      </c>
      <c r="E288" s="126">
        <v>0.8</v>
      </c>
      <c r="F288" s="109">
        <v>6.1</v>
      </c>
      <c r="G288" s="109">
        <v>1.42</v>
      </c>
      <c r="H288" s="109">
        <v>10.38</v>
      </c>
      <c r="I288" s="109">
        <v>0.8</v>
      </c>
      <c r="J288" s="119">
        <v>0.19672131147540983</v>
      </c>
      <c r="K288" s="112"/>
    </row>
    <row r="289" spans="1:11">
      <c r="A289" s="112" t="s">
        <v>13</v>
      </c>
      <c r="B289" s="111" t="s">
        <v>15</v>
      </c>
      <c r="C289" s="111"/>
      <c r="D289" s="125">
        <v>0.25</v>
      </c>
      <c r="E289" s="126">
        <v>0.8</v>
      </c>
      <c r="F289" s="111">
        <v>7.1</v>
      </c>
      <c r="G289" s="111">
        <v>2.35</v>
      </c>
      <c r="H289" s="111">
        <v>5.39</v>
      </c>
      <c r="I289" s="111">
        <v>1.3</v>
      </c>
      <c r="J289" s="119">
        <v>0.25352112676056338</v>
      </c>
      <c r="K289" s="112"/>
    </row>
    <row r="290" spans="1:11">
      <c r="A290" s="112" t="s">
        <v>13</v>
      </c>
      <c r="B290" s="111" t="s">
        <v>95</v>
      </c>
      <c r="C290" s="111"/>
      <c r="D290" s="125">
        <v>0.3</v>
      </c>
      <c r="E290" s="126">
        <v>0.8</v>
      </c>
      <c r="F290" s="111">
        <v>9</v>
      </c>
      <c r="G290" s="111">
        <v>2.35</v>
      </c>
      <c r="H290" s="111">
        <v>16.149999999999999</v>
      </c>
      <c r="I290" s="111">
        <v>1.1000000000000001</v>
      </c>
      <c r="J290" s="119">
        <v>0.3</v>
      </c>
      <c r="K290" s="112"/>
    </row>
    <row r="291" spans="1:11">
      <c r="A291" s="112" t="s">
        <v>13</v>
      </c>
      <c r="B291" s="111" t="s">
        <v>96</v>
      </c>
      <c r="C291" s="111"/>
      <c r="D291" s="125">
        <v>0.3</v>
      </c>
      <c r="E291" s="126">
        <v>0.8</v>
      </c>
      <c r="F291" s="111">
        <v>7.3</v>
      </c>
      <c r="G291" s="111">
        <v>2.33</v>
      </c>
      <c r="H291" s="111">
        <v>14.63</v>
      </c>
      <c r="I291" s="111">
        <v>1.1000000000000001</v>
      </c>
      <c r="J291" s="119">
        <v>0.30136986301369867</v>
      </c>
      <c r="K291" s="112"/>
    </row>
    <row r="292" spans="1:11">
      <c r="A292" s="112" t="s">
        <v>13</v>
      </c>
      <c r="B292" s="111" t="s">
        <v>97</v>
      </c>
      <c r="C292" s="111"/>
      <c r="D292" s="125">
        <v>0.25</v>
      </c>
      <c r="E292" s="126">
        <v>0.8</v>
      </c>
      <c r="F292" s="111">
        <v>4.5</v>
      </c>
      <c r="G292" s="111">
        <v>1.66</v>
      </c>
      <c r="H292" s="111">
        <v>4.99</v>
      </c>
      <c r="I292" s="111">
        <v>1.1000000000000001</v>
      </c>
      <c r="J292" s="119">
        <v>0.31111111111111112</v>
      </c>
      <c r="K292" s="112"/>
    </row>
    <row r="293" spans="1:11">
      <c r="A293" s="112" t="s">
        <v>13</v>
      </c>
      <c r="B293" s="111" t="s">
        <v>98</v>
      </c>
      <c r="C293" s="111"/>
      <c r="D293" s="125">
        <v>0.45</v>
      </c>
      <c r="E293" s="126">
        <v>0.8</v>
      </c>
      <c r="F293" s="111">
        <v>16.899999999999999</v>
      </c>
      <c r="G293" s="111">
        <v>6.51</v>
      </c>
      <c r="H293" s="111">
        <v>14.2</v>
      </c>
      <c r="I293" s="111">
        <v>2.2999999999999998</v>
      </c>
      <c r="J293" s="119">
        <v>0.34911242603550302</v>
      </c>
      <c r="K293" s="112"/>
    </row>
    <row r="294" spans="1:11">
      <c r="A294" s="112" t="s">
        <v>99</v>
      </c>
      <c r="B294" s="111" t="s">
        <v>94</v>
      </c>
      <c r="C294" s="111"/>
      <c r="D294" s="125">
        <v>0.02</v>
      </c>
      <c r="E294" s="126">
        <v>0.8</v>
      </c>
      <c r="F294" s="111">
        <v>2.2000000000000002</v>
      </c>
      <c r="G294" s="111">
        <v>0.1</v>
      </c>
      <c r="H294" s="111">
        <v>6.5</v>
      </c>
      <c r="I294" s="111">
        <v>0.06</v>
      </c>
      <c r="J294" s="119">
        <v>0.86363636363636354</v>
      </c>
      <c r="K294" s="112"/>
    </row>
    <row r="295" spans="1:11">
      <c r="A295" s="112" t="s">
        <v>99</v>
      </c>
      <c r="B295" s="111" t="s">
        <v>15</v>
      </c>
      <c r="C295" s="111"/>
      <c r="D295" s="125">
        <v>0.02</v>
      </c>
      <c r="E295" s="126">
        <v>0.8</v>
      </c>
      <c r="F295" s="111">
        <v>2.5</v>
      </c>
      <c r="G295" s="111">
        <v>0.4</v>
      </c>
      <c r="H295" s="111">
        <v>3</v>
      </c>
      <c r="I295" s="111">
        <v>0.08</v>
      </c>
      <c r="J295" s="119">
        <v>0.88</v>
      </c>
      <c r="K295" s="112"/>
    </row>
    <row r="296" spans="1:11">
      <c r="A296" s="121" t="s">
        <v>100</v>
      </c>
      <c r="B296" s="122" t="s">
        <v>94</v>
      </c>
      <c r="C296" s="122"/>
      <c r="D296" s="125">
        <v>0.1</v>
      </c>
      <c r="E296" s="126">
        <v>0.8</v>
      </c>
      <c r="F296" s="122">
        <v>4.75</v>
      </c>
      <c r="G296" s="122">
        <v>0.83499999999999996</v>
      </c>
      <c r="H296" s="122">
        <v>5.54</v>
      </c>
      <c r="I296" s="122">
        <v>0.625</v>
      </c>
      <c r="J296" s="123">
        <v>0.49473684210526309</v>
      </c>
      <c r="K296" s="124"/>
    </row>
    <row r="297" spans="1:11">
      <c r="A297" s="121" t="s">
        <v>100</v>
      </c>
      <c r="B297" s="122" t="s">
        <v>15</v>
      </c>
      <c r="C297" s="122"/>
      <c r="D297" s="125">
        <v>0.1</v>
      </c>
      <c r="E297" s="126">
        <v>0.8</v>
      </c>
      <c r="F297" s="122">
        <v>9.4</v>
      </c>
      <c r="G297" s="122">
        <v>2.8149999999999999</v>
      </c>
      <c r="H297" s="122">
        <v>5.25</v>
      </c>
      <c r="I297" s="122">
        <v>0.75</v>
      </c>
      <c r="J297" s="123">
        <v>0.6542553191489362</v>
      </c>
      <c r="K297" s="124"/>
    </row>
    <row r="298" spans="1:11">
      <c r="A298" s="112" t="s">
        <v>12</v>
      </c>
      <c r="B298" s="111" t="s">
        <v>101</v>
      </c>
      <c r="C298" s="111"/>
      <c r="D298" s="125">
        <v>0.28000000000000003</v>
      </c>
      <c r="E298" s="126">
        <v>0.7</v>
      </c>
      <c r="F298" s="111">
        <v>17.100000000000001</v>
      </c>
      <c r="G298" s="111">
        <v>4.76</v>
      </c>
      <c r="H298" s="111">
        <v>6.89</v>
      </c>
      <c r="I298" s="111">
        <v>2.4</v>
      </c>
      <c r="J298" s="119">
        <v>0.17543859649122806</v>
      </c>
      <c r="K298" s="112"/>
    </row>
    <row r="299" spans="1:11">
      <c r="A299" s="112" t="s">
        <v>12</v>
      </c>
      <c r="B299" s="111" t="s">
        <v>102</v>
      </c>
      <c r="C299" s="111"/>
      <c r="D299" s="125">
        <v>0.5</v>
      </c>
      <c r="E299" s="126">
        <v>0.7</v>
      </c>
      <c r="F299" s="111">
        <v>28.6</v>
      </c>
      <c r="G299" s="111">
        <v>10.039999999999999</v>
      </c>
      <c r="H299" s="111">
        <v>16.68</v>
      </c>
      <c r="I299" s="111">
        <v>3.13</v>
      </c>
      <c r="J299" s="119">
        <v>0.38111888111888109</v>
      </c>
      <c r="K299" s="112"/>
    </row>
    <row r="300" spans="1:11" ht="22.5">
      <c r="A300" s="112" t="s">
        <v>12</v>
      </c>
      <c r="B300" s="111" t="s">
        <v>119</v>
      </c>
      <c r="C300" s="111"/>
      <c r="D300" s="125">
        <v>0.7</v>
      </c>
      <c r="E300" s="126">
        <v>0.7</v>
      </c>
      <c r="F300" s="111">
        <v>32.1</v>
      </c>
      <c r="G300" s="111">
        <v>13.48</v>
      </c>
      <c r="H300" s="111">
        <v>18.09</v>
      </c>
      <c r="I300" s="111">
        <v>4.74</v>
      </c>
      <c r="J300" s="119">
        <v>0.34267912772585668</v>
      </c>
      <c r="K300" s="112"/>
    </row>
    <row r="301" spans="1:11">
      <c r="A301" s="112" t="s">
        <v>120</v>
      </c>
      <c r="B301" s="111" t="s">
        <v>103</v>
      </c>
      <c r="C301" s="111"/>
      <c r="D301" s="125">
        <v>0.04</v>
      </c>
      <c r="E301" s="126">
        <v>0.8</v>
      </c>
      <c r="F301" s="111">
        <v>1.4</v>
      </c>
      <c r="G301" s="111">
        <v>0.3</v>
      </c>
      <c r="H301" s="111">
        <v>3.4</v>
      </c>
      <c r="I301" s="111">
        <v>0.3</v>
      </c>
      <c r="J301" s="119">
        <v>0.5</v>
      </c>
      <c r="K301" s="112"/>
    </row>
    <row r="304" spans="1:11">
      <c r="A304" s="112" t="s">
        <v>111</v>
      </c>
      <c r="B304" s="111" t="s">
        <v>112</v>
      </c>
      <c r="C304" s="111"/>
      <c r="D304" s="125">
        <v>0.86</v>
      </c>
      <c r="E304" s="126">
        <v>0.95</v>
      </c>
      <c r="F304" s="111">
        <v>5</v>
      </c>
      <c r="G304" s="111">
        <v>1.3</v>
      </c>
      <c r="H304" s="111">
        <v>11.6</v>
      </c>
      <c r="I304" s="111">
        <v>1.2</v>
      </c>
      <c r="J304" s="119">
        <v>0</v>
      </c>
      <c r="K304" s="112"/>
    </row>
    <row r="305" spans="1:12">
      <c r="A305" s="105"/>
      <c r="B305" s="111" t="s">
        <v>113</v>
      </c>
      <c r="C305" s="111"/>
      <c r="D305" s="125">
        <v>0.15</v>
      </c>
      <c r="E305" s="126">
        <v>0.95</v>
      </c>
      <c r="F305" s="111">
        <v>4</v>
      </c>
      <c r="G305" s="111">
        <v>0.5</v>
      </c>
      <c r="H305" s="111">
        <v>5</v>
      </c>
      <c r="I305" s="111">
        <v>0.6</v>
      </c>
      <c r="J305" s="119">
        <v>0</v>
      </c>
      <c r="K305" s="112"/>
    </row>
    <row r="306" spans="1:12" ht="22.5">
      <c r="A306" s="105"/>
      <c r="B306" s="111" t="s">
        <v>114</v>
      </c>
      <c r="C306" s="111"/>
      <c r="D306" s="125">
        <v>0.15</v>
      </c>
      <c r="E306" s="126">
        <v>0.95</v>
      </c>
      <c r="F306" s="111">
        <v>5</v>
      </c>
      <c r="G306" s="111">
        <v>0.6</v>
      </c>
      <c r="H306" s="111">
        <v>4</v>
      </c>
      <c r="I306" s="111">
        <v>0.3</v>
      </c>
      <c r="J306" s="119">
        <v>0</v>
      </c>
      <c r="K306" s="112"/>
    </row>
    <row r="307" spans="1:12">
      <c r="A307" s="12"/>
    </row>
    <row r="311" spans="1:12" ht="18">
      <c r="A311" s="34" t="s">
        <v>83</v>
      </c>
      <c r="B311" s="35"/>
      <c r="C311" s="38"/>
      <c r="D311" s="7"/>
      <c r="E311" s="7"/>
      <c r="F311" s="7"/>
      <c r="G311" s="7"/>
      <c r="H311" s="7"/>
      <c r="I311" s="9"/>
      <c r="J311" s="9"/>
      <c r="K311" s="9"/>
      <c r="L311" s="10"/>
    </row>
    <row r="312" spans="1:12" ht="39.75">
      <c r="A312" s="36" t="s">
        <v>0</v>
      </c>
      <c r="B312" s="37" t="s">
        <v>26</v>
      </c>
      <c r="C312" s="38"/>
      <c r="D312" s="39" t="s">
        <v>28</v>
      </c>
      <c r="E312" s="40" t="s">
        <v>21</v>
      </c>
      <c r="F312" s="615" t="s">
        <v>1</v>
      </c>
      <c r="G312" s="616"/>
      <c r="H312" s="616"/>
      <c r="I312" s="635"/>
      <c r="J312" s="42" t="s">
        <v>181</v>
      </c>
      <c r="K312" s="43" t="s">
        <v>73</v>
      </c>
      <c r="L312" s="43" t="s">
        <v>74</v>
      </c>
    </row>
    <row r="313" spans="1:12">
      <c r="A313" s="36"/>
      <c r="B313" s="36"/>
      <c r="C313" s="46"/>
      <c r="D313" s="47" t="s">
        <v>23</v>
      </c>
      <c r="E313" s="48" t="s">
        <v>25</v>
      </c>
      <c r="F313" s="49" t="s">
        <v>2</v>
      </c>
      <c r="G313" s="49" t="s">
        <v>3</v>
      </c>
      <c r="H313" s="50" t="s">
        <v>4</v>
      </c>
      <c r="I313" s="51" t="s">
        <v>151</v>
      </c>
      <c r="J313" s="51" t="s">
        <v>178</v>
      </c>
      <c r="K313" s="51" t="s">
        <v>27</v>
      </c>
      <c r="L313" s="51" t="s">
        <v>23</v>
      </c>
    </row>
    <row r="314" spans="1:12" ht="18">
      <c r="A314" s="34" t="s">
        <v>5</v>
      </c>
      <c r="B314" s="35"/>
      <c r="C314" s="35"/>
      <c r="D314" s="7"/>
      <c r="E314" s="7"/>
      <c r="F314" s="7"/>
      <c r="G314" s="7"/>
      <c r="H314" s="7"/>
      <c r="I314" s="9"/>
      <c r="J314" s="9"/>
      <c r="K314" s="9"/>
      <c r="L314" s="10"/>
    </row>
    <row r="315" spans="1:12">
      <c r="A315" s="59" t="s">
        <v>18</v>
      </c>
      <c r="B315" s="53" t="s">
        <v>17</v>
      </c>
      <c r="C315" s="54"/>
      <c r="D315" s="55">
        <v>0.4</v>
      </c>
      <c r="E315" s="55">
        <v>0.95</v>
      </c>
      <c r="F315" s="61">
        <v>11</v>
      </c>
      <c r="G315" s="61">
        <v>1.4</v>
      </c>
      <c r="H315" s="61">
        <v>12</v>
      </c>
      <c r="I315" s="61"/>
      <c r="J315" s="56">
        <v>0</v>
      </c>
      <c r="K315" s="57">
        <v>320</v>
      </c>
      <c r="L315" s="58">
        <v>0.52</v>
      </c>
    </row>
    <row r="316" spans="1:12" ht="25.5">
      <c r="A316" s="34" t="s">
        <v>194</v>
      </c>
      <c r="B316" s="62"/>
      <c r="C316" s="63" t="s">
        <v>22</v>
      </c>
      <c r="D316" s="7"/>
      <c r="E316" s="7"/>
      <c r="F316" s="7"/>
      <c r="G316" s="7"/>
      <c r="H316" s="7"/>
      <c r="I316" s="7"/>
      <c r="J316" s="7"/>
      <c r="K316" s="7"/>
      <c r="L316" s="8"/>
    </row>
    <row r="317" spans="1:12">
      <c r="A317" s="52" t="s">
        <v>52</v>
      </c>
      <c r="B317" s="64" t="s">
        <v>20</v>
      </c>
      <c r="C317" s="93">
        <v>0.14000000000000001</v>
      </c>
      <c r="D317" s="65">
        <v>0.86</v>
      </c>
      <c r="E317" s="55">
        <v>0.95</v>
      </c>
      <c r="F317" s="195">
        <f>+C317*100/0.65</f>
        <v>21.53846153846154</v>
      </c>
      <c r="G317" s="66">
        <v>3.5</v>
      </c>
      <c r="H317" s="66">
        <v>5</v>
      </c>
      <c r="I317" s="66"/>
      <c r="J317" s="66">
        <v>0</v>
      </c>
      <c r="K317" s="57">
        <v>370</v>
      </c>
      <c r="L317" s="58">
        <v>0.53</v>
      </c>
    </row>
    <row r="318" spans="1:12">
      <c r="A318" s="52" t="s">
        <v>53</v>
      </c>
      <c r="B318" s="64" t="s">
        <v>20</v>
      </c>
      <c r="C318" s="93">
        <v>0.12</v>
      </c>
      <c r="D318" s="60">
        <v>0.86</v>
      </c>
      <c r="E318" s="55">
        <v>0.95</v>
      </c>
      <c r="F318" s="195">
        <f>+C318*100/0.65</f>
        <v>18.46153846153846</v>
      </c>
      <c r="G318" s="66">
        <v>3.5</v>
      </c>
      <c r="H318" s="66">
        <v>5</v>
      </c>
      <c r="I318" s="66"/>
      <c r="J318" s="66">
        <v>0</v>
      </c>
      <c r="K318" s="57">
        <v>370</v>
      </c>
      <c r="L318" s="58">
        <v>0.53</v>
      </c>
    </row>
    <row r="319" spans="1: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56.25">
      <c r="A320" s="197" t="s">
        <v>204</v>
      </c>
      <c r="B320" s="197"/>
      <c r="C320" s="198" t="s">
        <v>205</v>
      </c>
      <c r="D320" s="199" t="s">
        <v>207</v>
      </c>
      <c r="E320" s="199"/>
      <c r="F320" s="199" t="s">
        <v>209</v>
      </c>
      <c r="G320" s="199"/>
      <c r="H320" s="199"/>
      <c r="I320" s="199"/>
      <c r="J320" s="1"/>
      <c r="K320" s="1"/>
      <c r="L320" s="1"/>
    </row>
    <row r="321" spans="1:12" ht="33.75">
      <c r="A321" s="197"/>
      <c r="B321" s="197"/>
      <c r="C321" s="198" t="s">
        <v>206</v>
      </c>
      <c r="D321" s="199" t="s">
        <v>23</v>
      </c>
      <c r="E321" s="199"/>
      <c r="F321" s="199" t="s">
        <v>2</v>
      </c>
      <c r="G321" s="199" t="s">
        <v>3</v>
      </c>
      <c r="H321" s="199" t="s">
        <v>4</v>
      </c>
      <c r="I321" s="199" t="s">
        <v>151</v>
      </c>
      <c r="J321" s="1"/>
      <c r="K321" s="1"/>
      <c r="L321" s="1"/>
    </row>
    <row r="322" spans="1:12" ht="14.25">
      <c r="A322" s="200" t="s">
        <v>212</v>
      </c>
      <c r="B322" s="200"/>
      <c r="C322" s="201"/>
      <c r="D322" s="203"/>
      <c r="E322" s="203"/>
      <c r="F322" s="203"/>
      <c r="G322" s="203"/>
      <c r="H322" s="203"/>
      <c r="I322" s="203"/>
      <c r="J322" s="1"/>
      <c r="K322" s="1"/>
      <c r="L322" s="1"/>
    </row>
    <row r="323" spans="1:12">
      <c r="A323" s="197" t="s">
        <v>213</v>
      </c>
      <c r="B323" s="1" t="s">
        <v>20</v>
      </c>
      <c r="C323" s="202">
        <v>0.13</v>
      </c>
      <c r="D323" s="204">
        <v>0.86</v>
      </c>
      <c r="E323" s="1"/>
      <c r="F323" s="207">
        <f>+C323*D323*1000/5.7</f>
        <v>19.614035087719298</v>
      </c>
      <c r="G323" s="205">
        <v>3.5</v>
      </c>
      <c r="H323" s="205">
        <v>5</v>
      </c>
      <c r="I323" s="205">
        <v>1.2</v>
      </c>
      <c r="J323" s="1"/>
      <c r="K323" s="1"/>
      <c r="L323" s="1"/>
    </row>
    <row r="324" spans="1:12">
      <c r="A324" s="197" t="s">
        <v>214</v>
      </c>
      <c r="B324" s="1" t="s">
        <v>20</v>
      </c>
      <c r="C324" s="202">
        <v>0.11</v>
      </c>
      <c r="D324" s="204">
        <v>0.86</v>
      </c>
      <c r="E324" s="1"/>
      <c r="F324" s="207">
        <f t="shared" ref="F324:F329" si="3">+C324*D324*1000/5.7</f>
        <v>16.596491228070178</v>
      </c>
      <c r="G324" s="205">
        <v>3.5</v>
      </c>
      <c r="H324" s="205">
        <v>5</v>
      </c>
      <c r="I324" s="205">
        <v>1.2</v>
      </c>
      <c r="J324" s="1"/>
      <c r="K324" s="1"/>
      <c r="L324" s="1"/>
    </row>
    <row r="325" spans="1:12">
      <c r="A325" s="197" t="s">
        <v>215</v>
      </c>
      <c r="B325" s="1" t="s">
        <v>20</v>
      </c>
      <c r="C325" s="202">
        <v>0.12</v>
      </c>
      <c r="D325" s="204">
        <v>0.86</v>
      </c>
      <c r="E325" s="1"/>
      <c r="F325" s="207">
        <f t="shared" si="3"/>
        <v>18.105263157894736</v>
      </c>
      <c r="G325" s="205">
        <v>3.5</v>
      </c>
      <c r="H325" s="205">
        <v>5</v>
      </c>
      <c r="I325" s="205">
        <v>1.2</v>
      </c>
      <c r="J325" s="1"/>
      <c r="K325" s="1"/>
      <c r="L325" s="1"/>
    </row>
    <row r="326" spans="1:12">
      <c r="A326" s="197" t="s">
        <v>216</v>
      </c>
      <c r="B326" s="1" t="s">
        <v>20</v>
      </c>
      <c r="C326" s="202">
        <v>0.11</v>
      </c>
      <c r="D326" s="204">
        <v>0.86</v>
      </c>
      <c r="E326" s="1"/>
      <c r="F326" s="207">
        <f t="shared" si="3"/>
        <v>16.596491228070178</v>
      </c>
      <c r="G326" s="205">
        <v>3.5</v>
      </c>
      <c r="H326" s="205">
        <v>5</v>
      </c>
      <c r="I326" s="205">
        <v>1.2</v>
      </c>
      <c r="J326" s="1"/>
      <c r="K326" s="1"/>
      <c r="L326" s="1"/>
    </row>
    <row r="327" spans="1:12">
      <c r="A327" s="197" t="s">
        <v>217</v>
      </c>
      <c r="B327" s="1" t="s">
        <v>20</v>
      </c>
      <c r="C327" s="202">
        <v>0.11</v>
      </c>
      <c r="D327" s="204">
        <v>0.86</v>
      </c>
      <c r="E327" s="1"/>
      <c r="F327" s="207">
        <f t="shared" si="3"/>
        <v>16.596491228070178</v>
      </c>
      <c r="G327" s="205">
        <v>0.44</v>
      </c>
      <c r="H327" s="205">
        <v>0.39</v>
      </c>
      <c r="I327" s="205">
        <v>0.1</v>
      </c>
      <c r="J327" s="1"/>
      <c r="K327" s="1"/>
      <c r="L327" s="1"/>
    </row>
    <row r="328" spans="1:12">
      <c r="A328" s="197" t="s">
        <v>220</v>
      </c>
      <c r="B328" s="1" t="s">
        <v>20</v>
      </c>
      <c r="C328" s="202">
        <v>0.12</v>
      </c>
      <c r="D328" s="204">
        <v>0.86</v>
      </c>
      <c r="E328" s="1"/>
      <c r="F328" s="207">
        <f t="shared" si="3"/>
        <v>18.105263157894736</v>
      </c>
      <c r="G328" s="205">
        <v>0.35</v>
      </c>
      <c r="H328" s="205">
        <v>0.5</v>
      </c>
      <c r="I328" s="205">
        <v>0.12</v>
      </c>
      <c r="J328" s="1"/>
      <c r="K328" s="1"/>
      <c r="L328" s="1"/>
    </row>
    <row r="329" spans="1:12">
      <c r="A329" s="197" t="s">
        <v>223</v>
      </c>
      <c r="B329" s="1" t="s">
        <v>20</v>
      </c>
      <c r="C329" s="202">
        <v>0.12</v>
      </c>
      <c r="D329" s="204">
        <v>0.86</v>
      </c>
      <c r="E329" s="1"/>
      <c r="F329" s="207">
        <f t="shared" si="3"/>
        <v>18.105263157894736</v>
      </c>
      <c r="G329" s="205">
        <v>0.35</v>
      </c>
      <c r="H329" s="205">
        <v>0.5</v>
      </c>
      <c r="I329" s="205">
        <v>0.12</v>
      </c>
      <c r="J329" s="1"/>
      <c r="K329" s="1"/>
      <c r="L329" s="1"/>
    </row>
    <row r="330" spans="1:12">
      <c r="A330" s="197" t="s">
        <v>225</v>
      </c>
      <c r="B330" s="1" t="s">
        <v>20</v>
      </c>
      <c r="C330" s="197"/>
      <c r="D330" s="204">
        <v>0.86</v>
      </c>
      <c r="E330" s="1"/>
      <c r="F330" s="205">
        <v>13.8</v>
      </c>
      <c r="G330" s="205">
        <v>2.8</v>
      </c>
      <c r="H330" s="205">
        <v>3.1</v>
      </c>
      <c r="I330" s="205">
        <v>1.2</v>
      </c>
      <c r="J330" s="1"/>
      <c r="K330" s="1"/>
      <c r="L330" s="1"/>
    </row>
    <row r="331" spans="1:12">
      <c r="A331" s="197" t="s">
        <v>242</v>
      </c>
      <c r="B331" s="1" t="s">
        <v>20</v>
      </c>
      <c r="C331" s="197"/>
      <c r="D331" s="204">
        <v>0.91</v>
      </c>
      <c r="E331" s="1"/>
      <c r="F331" s="205">
        <v>33.5</v>
      </c>
      <c r="G331" s="205">
        <v>7.8</v>
      </c>
      <c r="H331" s="205">
        <v>8.3000000000000007</v>
      </c>
      <c r="I331" s="205">
        <v>3</v>
      </c>
      <c r="J331" s="1"/>
      <c r="K331" s="1"/>
      <c r="L331" s="1"/>
    </row>
    <row r="332" spans="1:12">
      <c r="A332" s="197" t="s">
        <v>112</v>
      </c>
      <c r="B332" s="197"/>
      <c r="C332" s="5"/>
      <c r="D332" s="204">
        <v>0.86</v>
      </c>
      <c r="E332" s="1"/>
      <c r="F332" s="205">
        <v>5</v>
      </c>
      <c r="G332" s="205">
        <v>1.3</v>
      </c>
      <c r="H332" s="205">
        <v>16.600000000000001</v>
      </c>
      <c r="I332" s="205">
        <v>1.2</v>
      </c>
      <c r="J332" s="1"/>
      <c r="K332" s="1"/>
      <c r="L332" s="1"/>
    </row>
    <row r="333" spans="1:12">
      <c r="A333" s="197" t="s">
        <v>213</v>
      </c>
      <c r="B333" s="197" t="s">
        <v>202</v>
      </c>
      <c r="C333" s="1"/>
      <c r="D333" s="204">
        <v>0.5</v>
      </c>
      <c r="E333" s="1"/>
      <c r="F333" s="205">
        <v>7</v>
      </c>
      <c r="G333" s="205">
        <v>1.5</v>
      </c>
      <c r="H333" s="205">
        <v>5.0999999999999996</v>
      </c>
      <c r="I333" s="205">
        <v>1.3</v>
      </c>
      <c r="J333" s="1"/>
      <c r="K333" s="1"/>
      <c r="L333" s="1"/>
    </row>
    <row r="334" spans="1:12">
      <c r="A334" s="197" t="s">
        <v>214</v>
      </c>
      <c r="B334" s="197" t="s">
        <v>202</v>
      </c>
      <c r="C334" s="1"/>
      <c r="D334" s="204">
        <v>0.5</v>
      </c>
      <c r="E334" s="1"/>
      <c r="F334" s="205">
        <v>6.7</v>
      </c>
      <c r="G334" s="205">
        <v>1.5</v>
      </c>
      <c r="H334" s="205">
        <v>5.8</v>
      </c>
      <c r="I334" s="205">
        <v>1.3</v>
      </c>
      <c r="J334" s="1"/>
      <c r="K334" s="1"/>
      <c r="L334" s="1"/>
    </row>
    <row r="335" spans="1:12">
      <c r="A335" s="197" t="s">
        <v>90</v>
      </c>
      <c r="B335" s="197" t="s">
        <v>202</v>
      </c>
      <c r="C335" s="1"/>
      <c r="D335" s="204">
        <v>0.35</v>
      </c>
      <c r="E335" s="1"/>
      <c r="F335" s="205">
        <v>5.6</v>
      </c>
      <c r="G335" s="205">
        <v>1.7</v>
      </c>
      <c r="H335" s="205">
        <v>5.8</v>
      </c>
      <c r="I335" s="205">
        <v>1</v>
      </c>
      <c r="J335" s="1"/>
      <c r="K335" s="1"/>
      <c r="L335" s="1"/>
    </row>
    <row r="336" spans="1:12">
      <c r="A336" s="197" t="s">
        <v>275</v>
      </c>
      <c r="B336" s="197" t="s">
        <v>202</v>
      </c>
      <c r="C336" s="1"/>
      <c r="D336" s="204">
        <v>0.2</v>
      </c>
      <c r="E336" s="1"/>
      <c r="F336" s="205">
        <v>4</v>
      </c>
      <c r="G336" s="205">
        <v>0.6</v>
      </c>
      <c r="H336" s="205">
        <v>4.8</v>
      </c>
      <c r="I336" s="205">
        <v>0.3</v>
      </c>
      <c r="J336" s="1"/>
      <c r="K336" s="1"/>
      <c r="L336" s="1"/>
    </row>
    <row r="337" spans="1:12" ht="14.25">
      <c r="A337" s="200" t="s">
        <v>313</v>
      </c>
      <c r="B337" s="200"/>
      <c r="C337" s="200"/>
      <c r="D337" s="204"/>
      <c r="E337" s="1"/>
      <c r="F337" s="203"/>
      <c r="G337" s="203"/>
      <c r="H337" s="203"/>
      <c r="I337" s="203"/>
      <c r="J337" s="1"/>
      <c r="K337" s="1"/>
      <c r="L337" s="1"/>
    </row>
    <row r="338" spans="1:12">
      <c r="A338" s="197" t="s">
        <v>271</v>
      </c>
      <c r="B338" s="197" t="s">
        <v>202</v>
      </c>
      <c r="C338" s="1"/>
      <c r="D338" s="204">
        <v>0.32</v>
      </c>
      <c r="E338" s="1"/>
      <c r="F338" s="205">
        <v>4.3</v>
      </c>
      <c r="G338" s="205">
        <v>0.8</v>
      </c>
      <c r="H338" s="205">
        <v>4.2</v>
      </c>
      <c r="I338" s="205">
        <v>0.8</v>
      </c>
      <c r="J338" s="1"/>
      <c r="K338" s="1"/>
      <c r="L338" s="1"/>
    </row>
    <row r="339" spans="1:12">
      <c r="A339" s="197" t="s">
        <v>272</v>
      </c>
      <c r="B339" s="197" t="s">
        <v>202</v>
      </c>
      <c r="C339" s="1"/>
      <c r="D339" s="204">
        <v>0.2</v>
      </c>
      <c r="E339" s="1"/>
      <c r="F339" s="205">
        <v>4.8</v>
      </c>
      <c r="G339" s="205">
        <v>0.7</v>
      </c>
      <c r="H339" s="205">
        <v>5.4</v>
      </c>
      <c r="I339" s="205">
        <v>0.5</v>
      </c>
      <c r="J339" s="1"/>
      <c r="K339" s="1"/>
      <c r="L339" s="1"/>
    </row>
    <row r="340" spans="1:12">
      <c r="A340" s="197" t="s">
        <v>273</v>
      </c>
      <c r="B340" s="197" t="s">
        <v>202</v>
      </c>
      <c r="C340" s="1"/>
      <c r="D340" s="204">
        <v>0.2</v>
      </c>
      <c r="E340" s="1"/>
      <c r="F340" s="205">
        <v>4.5</v>
      </c>
      <c r="G340" s="205">
        <v>0.6</v>
      </c>
      <c r="H340" s="205">
        <v>3.9</v>
      </c>
      <c r="I340" s="205">
        <v>0.3</v>
      </c>
      <c r="J340" s="1"/>
      <c r="K340" s="1"/>
      <c r="L340" s="1"/>
    </row>
    <row r="341" spans="1:12">
      <c r="A341" s="197" t="s">
        <v>274</v>
      </c>
      <c r="B341" s="197" t="s">
        <v>202</v>
      </c>
      <c r="C341" s="1"/>
      <c r="D341" s="204">
        <v>0.2</v>
      </c>
      <c r="E341" s="1"/>
      <c r="F341" s="205">
        <v>4.5</v>
      </c>
      <c r="G341" s="205">
        <v>0.6</v>
      </c>
      <c r="H341" s="205">
        <v>3.9</v>
      </c>
      <c r="I341" s="205">
        <v>0.3</v>
      </c>
      <c r="J341" s="1"/>
      <c r="K341" s="1"/>
      <c r="L341" s="1"/>
    </row>
    <row r="342" spans="1:12">
      <c r="A342" s="197" t="s">
        <v>276</v>
      </c>
      <c r="B342" s="197" t="s">
        <v>202</v>
      </c>
      <c r="C342" s="1"/>
      <c r="D342" s="204">
        <v>0.2</v>
      </c>
      <c r="E342" s="1"/>
      <c r="F342" s="205">
        <v>4.5</v>
      </c>
      <c r="G342" s="205">
        <v>0.6</v>
      </c>
      <c r="H342" s="205">
        <v>4</v>
      </c>
      <c r="I342" s="205">
        <v>0.3</v>
      </c>
      <c r="J342" s="1"/>
      <c r="K342" s="1"/>
      <c r="L342" s="1"/>
    </row>
    <row r="343" spans="1:12">
      <c r="A343" s="197" t="s">
        <v>279</v>
      </c>
      <c r="B343" s="197"/>
      <c r="C343" s="197" t="s">
        <v>202</v>
      </c>
      <c r="D343" s="204">
        <v>0.2</v>
      </c>
      <c r="E343" s="1"/>
      <c r="F343" s="205">
        <v>5.2</v>
      </c>
      <c r="G343" s="205">
        <v>0.6</v>
      </c>
      <c r="H343" s="205">
        <v>5.0999999999999996</v>
      </c>
      <c r="I343" s="205">
        <v>0.6</v>
      </c>
      <c r="J343" s="1"/>
      <c r="K343" s="1"/>
      <c r="L343" s="1"/>
    </row>
    <row r="344" spans="1:12">
      <c r="A344" s="197" t="s">
        <v>282</v>
      </c>
      <c r="B344" s="197"/>
      <c r="C344" s="197" t="s">
        <v>202</v>
      </c>
      <c r="D344" s="204">
        <v>0.2</v>
      </c>
      <c r="E344" s="1"/>
      <c r="F344" s="205">
        <v>5.4</v>
      </c>
      <c r="G344" s="205">
        <v>0.7</v>
      </c>
      <c r="H344" s="205">
        <v>5.4</v>
      </c>
      <c r="I344" s="205">
        <v>0.5</v>
      </c>
      <c r="J344" s="1"/>
      <c r="K344" s="1"/>
      <c r="L344" s="1"/>
    </row>
    <row r="345" spans="1:12">
      <c r="A345" s="197" t="s">
        <v>284</v>
      </c>
      <c r="B345" s="197"/>
      <c r="C345" s="197" t="s">
        <v>202</v>
      </c>
      <c r="D345" s="204">
        <v>0.2</v>
      </c>
      <c r="E345" s="1"/>
      <c r="F345" s="205">
        <v>4</v>
      </c>
      <c r="G345" s="205">
        <v>0.7</v>
      </c>
      <c r="H345" s="205">
        <v>4.8</v>
      </c>
      <c r="I345" s="205">
        <v>0.3</v>
      </c>
      <c r="J345" s="1"/>
      <c r="K345" s="1"/>
      <c r="L345" s="1"/>
    </row>
    <row r="346" spans="1:12">
      <c r="A346" s="197" t="s">
        <v>286</v>
      </c>
      <c r="B346" s="197"/>
      <c r="C346" s="197" t="s">
        <v>202</v>
      </c>
      <c r="D346" s="204">
        <v>0.2</v>
      </c>
      <c r="E346" s="1"/>
      <c r="F346" s="205">
        <v>5.5</v>
      </c>
      <c r="G346" s="205">
        <v>0.6</v>
      </c>
      <c r="H346" s="205">
        <v>5</v>
      </c>
      <c r="I346" s="205">
        <v>0.4</v>
      </c>
      <c r="J346" s="1"/>
      <c r="K346" s="1"/>
      <c r="L346" s="1"/>
    </row>
    <row r="347" spans="1:12">
      <c r="A347" s="197" t="s">
        <v>287</v>
      </c>
      <c r="B347" s="197"/>
      <c r="C347" s="197" t="s">
        <v>202</v>
      </c>
      <c r="D347" s="204">
        <v>0.2</v>
      </c>
      <c r="E347" s="1"/>
      <c r="F347" s="205">
        <v>6</v>
      </c>
      <c r="G347" s="205">
        <v>0.6</v>
      </c>
      <c r="H347" s="205">
        <v>5.4</v>
      </c>
      <c r="I347" s="205">
        <v>0.3</v>
      </c>
      <c r="J347" s="1"/>
      <c r="K347" s="1"/>
      <c r="L347" s="1"/>
    </row>
    <row r="348" spans="1:12">
      <c r="A348" s="197" t="s">
        <v>290</v>
      </c>
      <c r="B348" s="197"/>
      <c r="C348" s="197" t="s">
        <v>202</v>
      </c>
      <c r="D348" s="204">
        <v>0.2</v>
      </c>
      <c r="E348" s="1"/>
      <c r="F348" s="205">
        <v>4.8</v>
      </c>
      <c r="G348" s="205">
        <v>0.6</v>
      </c>
      <c r="H348" s="205">
        <v>3.9</v>
      </c>
      <c r="I348" s="205">
        <v>0.3</v>
      </c>
      <c r="J348" s="1"/>
      <c r="K348" s="1"/>
      <c r="L348" s="1"/>
    </row>
    <row r="349" spans="1:12">
      <c r="A349" s="197" t="s">
        <v>291</v>
      </c>
      <c r="B349" s="197"/>
      <c r="C349" s="197" t="s">
        <v>202</v>
      </c>
      <c r="D349" s="204">
        <v>0.2</v>
      </c>
      <c r="E349" s="1"/>
      <c r="F349" s="205">
        <v>4.8</v>
      </c>
      <c r="G349" s="205">
        <v>0.6</v>
      </c>
      <c r="H349" s="205">
        <v>3.9</v>
      </c>
      <c r="I349" s="205">
        <v>0.3</v>
      </c>
      <c r="J349" s="1"/>
      <c r="K349" s="1"/>
      <c r="L349" s="1"/>
    </row>
    <row r="350" spans="1:12">
      <c r="A350" s="197" t="s">
        <v>300</v>
      </c>
      <c r="B350" s="200"/>
      <c r="C350" s="200"/>
      <c r="D350" s="204">
        <v>0.15</v>
      </c>
      <c r="E350" s="1"/>
      <c r="F350" s="205">
        <v>4.5</v>
      </c>
      <c r="G350" s="205">
        <v>0.6</v>
      </c>
      <c r="H350" s="205">
        <v>4.55</v>
      </c>
      <c r="I350" s="205">
        <v>0.7</v>
      </c>
      <c r="J350" s="1"/>
      <c r="K350" s="1"/>
      <c r="L350" s="1"/>
    </row>
    <row r="351" spans="1:12">
      <c r="A351" s="197" t="s">
        <v>314</v>
      </c>
      <c r="B351" s="197" t="s">
        <v>307</v>
      </c>
      <c r="C351" s="1"/>
      <c r="D351" s="204">
        <v>1</v>
      </c>
      <c r="E351" s="1"/>
      <c r="F351" s="206">
        <v>14.8</v>
      </c>
      <c r="G351" s="206">
        <v>2.6</v>
      </c>
      <c r="H351" s="206">
        <v>13.7</v>
      </c>
      <c r="I351" s="206">
        <v>1.9</v>
      </c>
      <c r="J351" s="1"/>
      <c r="K351" s="1"/>
      <c r="L351" s="1"/>
    </row>
    <row r="352" spans="1:12">
      <c r="A352" s="197" t="s">
        <v>315</v>
      </c>
      <c r="B352" s="197" t="s">
        <v>309</v>
      </c>
      <c r="C352" s="1"/>
      <c r="D352" s="204">
        <v>1</v>
      </c>
      <c r="E352" s="1"/>
      <c r="F352" s="206">
        <v>22.5</v>
      </c>
      <c r="G352" s="206">
        <v>4</v>
      </c>
      <c r="H352" s="206">
        <v>23</v>
      </c>
      <c r="I352" s="206">
        <v>2.5</v>
      </c>
      <c r="J352" s="1"/>
      <c r="K352" s="1"/>
      <c r="L352" s="1"/>
    </row>
    <row r="353" spans="1:12">
      <c r="A353" s="197" t="s">
        <v>316</v>
      </c>
      <c r="B353" s="197" t="s">
        <v>311</v>
      </c>
      <c r="C353" s="1"/>
      <c r="D353" s="204">
        <v>1</v>
      </c>
      <c r="E353" s="1"/>
      <c r="F353" s="206">
        <v>23.8</v>
      </c>
      <c r="G353" s="206">
        <v>4.3</v>
      </c>
      <c r="H353" s="206">
        <v>23.8</v>
      </c>
      <c r="I353" s="206">
        <v>2.4</v>
      </c>
      <c r="J353" s="1"/>
      <c r="K353" s="1"/>
      <c r="L353" s="1"/>
    </row>
    <row r="354" spans="1:12" ht="14.25">
      <c r="A354" s="200" t="s">
        <v>258</v>
      </c>
      <c r="B354" s="200"/>
      <c r="C354" s="201"/>
      <c r="D354" s="204"/>
      <c r="E354" s="1"/>
      <c r="F354" s="203"/>
      <c r="G354" s="203"/>
      <c r="H354" s="203"/>
      <c r="I354" s="203"/>
      <c r="J354" s="1"/>
      <c r="K354" s="1"/>
      <c r="L354" s="1"/>
    </row>
    <row r="355" spans="1:12" ht="14.25">
      <c r="A355" s="197" t="s">
        <v>312</v>
      </c>
      <c r="B355" s="200"/>
      <c r="C355" s="201"/>
      <c r="D355" s="204">
        <v>0.22</v>
      </c>
      <c r="E355" s="1"/>
      <c r="F355" s="205">
        <v>3.9</v>
      </c>
      <c r="G355" s="205">
        <v>0.65</v>
      </c>
      <c r="H355" s="205">
        <v>5</v>
      </c>
      <c r="I355" s="205">
        <v>0.2</v>
      </c>
      <c r="J355" s="1"/>
      <c r="K355" s="1"/>
      <c r="L355" s="1"/>
    </row>
    <row r="356" spans="1:12">
      <c r="A356" s="197" t="s">
        <v>259</v>
      </c>
      <c r="B356" s="197"/>
      <c r="C356" s="197" t="s">
        <v>260</v>
      </c>
      <c r="D356" s="204">
        <v>0.22</v>
      </c>
      <c r="E356" s="1"/>
      <c r="F356" s="205">
        <v>4.3</v>
      </c>
      <c r="G356" s="205">
        <v>0.7</v>
      </c>
      <c r="H356" s="205">
        <v>5</v>
      </c>
      <c r="I356" s="205">
        <v>0.2</v>
      </c>
      <c r="J356" s="1"/>
      <c r="K356" s="1"/>
      <c r="L356" s="1"/>
    </row>
    <row r="357" spans="1:12">
      <c r="A357" s="197" t="s">
        <v>263</v>
      </c>
      <c r="B357" s="197"/>
      <c r="C357" s="197" t="s">
        <v>260</v>
      </c>
      <c r="D357" s="204">
        <v>0.22</v>
      </c>
      <c r="E357" s="1"/>
      <c r="F357" s="205">
        <v>3.5</v>
      </c>
      <c r="G357" s="205">
        <v>0.6</v>
      </c>
      <c r="H357" s="205">
        <v>5</v>
      </c>
      <c r="I357" s="205">
        <v>0.2</v>
      </c>
      <c r="J357" s="1"/>
      <c r="K357" s="1"/>
      <c r="L357" s="1"/>
    </row>
    <row r="358" spans="1:12">
      <c r="A358" s="197" t="s">
        <v>264</v>
      </c>
      <c r="B358" s="197" t="s">
        <v>265</v>
      </c>
      <c r="C358" s="1"/>
      <c r="D358" s="204">
        <v>0.23</v>
      </c>
      <c r="E358" s="1"/>
      <c r="F358" s="205">
        <v>1.8</v>
      </c>
      <c r="G358" s="205">
        <v>0.4</v>
      </c>
      <c r="H358" s="205">
        <v>2.1</v>
      </c>
      <c r="I358" s="205">
        <v>0.5</v>
      </c>
      <c r="J358" s="1"/>
      <c r="K358" s="1"/>
      <c r="L358" s="1"/>
    </row>
    <row r="359" spans="1:12">
      <c r="A359" s="197"/>
      <c r="B359" s="197" t="s">
        <v>266</v>
      </c>
      <c r="C359" s="1"/>
      <c r="D359" s="204">
        <v>0.18</v>
      </c>
      <c r="E359" s="1"/>
      <c r="F359" s="205">
        <v>4</v>
      </c>
      <c r="G359" s="205">
        <v>0.5</v>
      </c>
      <c r="H359" s="205">
        <v>5</v>
      </c>
      <c r="I359" s="205">
        <v>0.6</v>
      </c>
      <c r="J359" s="1"/>
      <c r="K359" s="1"/>
      <c r="L359" s="1"/>
    </row>
    <row r="360" spans="1:12">
      <c r="A360" s="197" t="s">
        <v>268</v>
      </c>
      <c r="B360" s="197" t="s">
        <v>265</v>
      </c>
      <c r="C360" s="1"/>
      <c r="D360" s="204">
        <v>0.15</v>
      </c>
      <c r="E360" s="1"/>
      <c r="F360" s="205">
        <v>1.8</v>
      </c>
      <c r="G360" s="205">
        <v>0.4</v>
      </c>
      <c r="H360" s="205">
        <v>4.2</v>
      </c>
      <c r="I360" s="205">
        <v>0.3</v>
      </c>
      <c r="J360" s="1"/>
      <c r="K360" s="1"/>
      <c r="L360" s="1"/>
    </row>
    <row r="361" spans="1:12">
      <c r="A361" s="197"/>
      <c r="B361" s="197" t="s">
        <v>266</v>
      </c>
      <c r="C361" s="1"/>
      <c r="D361" s="204">
        <v>0.16</v>
      </c>
      <c r="E361" s="1"/>
      <c r="F361" s="205">
        <v>3</v>
      </c>
      <c r="G361" s="205">
        <v>0.3</v>
      </c>
      <c r="H361" s="205">
        <v>4.2</v>
      </c>
      <c r="I361" s="205">
        <v>0.5</v>
      </c>
      <c r="J361" s="1"/>
      <c r="K361" s="1"/>
      <c r="L361" s="1"/>
    </row>
    <row r="362" spans="1:12">
      <c r="A362" s="197" t="s">
        <v>269</v>
      </c>
      <c r="B362" s="197" t="s">
        <v>265</v>
      </c>
      <c r="C362" s="1"/>
      <c r="D362" s="204">
        <v>0.15</v>
      </c>
      <c r="E362" s="1"/>
      <c r="F362" s="205">
        <v>1.4</v>
      </c>
      <c r="G362" s="205">
        <v>0.3</v>
      </c>
      <c r="H362" s="205">
        <v>3.7</v>
      </c>
      <c r="I362" s="205">
        <v>0.3</v>
      </c>
      <c r="J362" s="1"/>
      <c r="K362" s="1"/>
      <c r="L362" s="1"/>
    </row>
    <row r="363" spans="1:12">
      <c r="A363" s="197"/>
      <c r="B363" s="197" t="s">
        <v>266</v>
      </c>
      <c r="C363" s="1"/>
      <c r="D363" s="204">
        <v>0.16</v>
      </c>
      <c r="E363" s="1"/>
      <c r="F363" s="205">
        <v>2.5</v>
      </c>
      <c r="G363" s="205">
        <v>0.2</v>
      </c>
      <c r="H363" s="205">
        <v>3.3</v>
      </c>
      <c r="I363" s="205">
        <v>0.8</v>
      </c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11" t="s">
        <v>390</v>
      </c>
      <c r="B370" s="1"/>
      <c r="C370" s="1"/>
      <c r="D370" s="1" t="s">
        <v>157</v>
      </c>
      <c r="E370" s="1"/>
      <c r="F370" s="1"/>
      <c r="G370" s="1"/>
      <c r="H370" s="1"/>
      <c r="I370" s="1"/>
      <c r="J370" s="1"/>
      <c r="K370" s="1"/>
      <c r="L370" s="1"/>
    </row>
    <row r="371" spans="1:12">
      <c r="A371" s="1" t="s">
        <v>391</v>
      </c>
      <c r="B371" s="1">
        <v>3000</v>
      </c>
      <c r="C371" s="1" t="s">
        <v>37</v>
      </c>
      <c r="D371" s="1">
        <v>31.5</v>
      </c>
      <c r="E371" s="1"/>
      <c r="F371" s="1"/>
      <c r="G371" s="1"/>
      <c r="H371" s="1"/>
      <c r="I371" s="1"/>
      <c r="J371" s="1"/>
      <c r="K371" s="1"/>
      <c r="L371" s="1"/>
    </row>
    <row r="372" spans="1:12">
      <c r="A372" s="1" t="s">
        <v>392</v>
      </c>
      <c r="B372" s="1">
        <v>5000</v>
      </c>
      <c r="C372" s="1" t="s">
        <v>37</v>
      </c>
      <c r="D372" s="1">
        <v>26</v>
      </c>
      <c r="E372" s="1"/>
      <c r="F372" s="1"/>
      <c r="G372" s="1"/>
      <c r="H372" s="1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1" t="s">
        <v>393</v>
      </c>
    </row>
    <row r="375" spans="1:12">
      <c r="A375" s="1" t="s">
        <v>391</v>
      </c>
      <c r="B375" s="1">
        <v>3000</v>
      </c>
      <c r="C375" s="1" t="s">
        <v>37</v>
      </c>
      <c r="D375">
        <f>3.14/4*26^2*E375/B375</f>
        <v>8.8443333333333332</v>
      </c>
      <c r="E375">
        <v>50</v>
      </c>
      <c r="F375" t="s">
        <v>394</v>
      </c>
    </row>
    <row r="376" spans="1:12">
      <c r="A376" s="1" t="s">
        <v>392</v>
      </c>
      <c r="B376" s="1">
        <v>5000</v>
      </c>
      <c r="C376" s="1" t="s">
        <v>37</v>
      </c>
      <c r="D376">
        <f>3.14/4*33^2*E376/B376</f>
        <v>8.5486500000000003</v>
      </c>
      <c r="E376">
        <v>50</v>
      </c>
      <c r="F376" t="s">
        <v>394</v>
      </c>
    </row>
    <row r="377" spans="1:12">
      <c r="A377" s="1" t="s">
        <v>395</v>
      </c>
    </row>
    <row r="378" spans="1:12">
      <c r="A378" s="1" t="s">
        <v>391</v>
      </c>
      <c r="B378" s="1">
        <v>3000</v>
      </c>
      <c r="C378" s="1" t="s">
        <v>37</v>
      </c>
      <c r="D378">
        <f>+D371+D375</f>
        <v>40.344333333333331</v>
      </c>
    </row>
    <row r="379" spans="1:12">
      <c r="A379" s="1" t="s">
        <v>392</v>
      </c>
      <c r="B379" s="1">
        <v>5000</v>
      </c>
      <c r="C379" s="1" t="s">
        <v>37</v>
      </c>
      <c r="D379">
        <f>+D372+D376</f>
        <v>34.548650000000002</v>
      </c>
    </row>
    <row r="381" spans="1:12">
      <c r="D381">
        <f>AVERAGE(D378:D379)</f>
        <v>37.446491666666667</v>
      </c>
      <c r="E381" t="s">
        <v>396</v>
      </c>
      <c r="F381">
        <v>40</v>
      </c>
    </row>
  </sheetData>
  <mergeCells count="93">
    <mergeCell ref="A80:L80"/>
    <mergeCell ref="A81:B82"/>
    <mergeCell ref="F81:L81"/>
    <mergeCell ref="A83:B83"/>
    <mergeCell ref="A84:B101"/>
    <mergeCell ref="A102:B102"/>
    <mergeCell ref="A103:B108"/>
    <mergeCell ref="A109:B109"/>
    <mergeCell ref="A110:B115"/>
    <mergeCell ref="A116:B121"/>
    <mergeCell ref="A122:B122"/>
    <mergeCell ref="A123:B123"/>
    <mergeCell ref="A124:B124"/>
    <mergeCell ref="A125:B125"/>
    <mergeCell ref="A126:B126"/>
    <mergeCell ref="A127:B130"/>
    <mergeCell ref="A131:B133"/>
    <mergeCell ref="A134:B136"/>
    <mergeCell ref="A137:B139"/>
    <mergeCell ref="A140:B142"/>
    <mergeCell ref="A143:B148"/>
    <mergeCell ref="A149:B151"/>
    <mergeCell ref="A152:B157"/>
    <mergeCell ref="A158:B163"/>
    <mergeCell ref="A164:C164"/>
    <mergeCell ref="A165:B167"/>
    <mergeCell ref="A168:B170"/>
    <mergeCell ref="A171:B173"/>
    <mergeCell ref="A174:B176"/>
    <mergeCell ref="A177:B179"/>
    <mergeCell ref="A180:B182"/>
    <mergeCell ref="A183:B185"/>
    <mergeCell ref="A186:B188"/>
    <mergeCell ref="A190:B192"/>
    <mergeCell ref="A193:B195"/>
    <mergeCell ref="A209:B209"/>
    <mergeCell ref="A210:B210"/>
    <mergeCell ref="A211:B211"/>
    <mergeCell ref="A212:B212"/>
    <mergeCell ref="A196:B198"/>
    <mergeCell ref="A199:B201"/>
    <mergeCell ref="A202:B204"/>
    <mergeCell ref="A205:B207"/>
    <mergeCell ref="A208:B208"/>
    <mergeCell ref="K211:K212"/>
    <mergeCell ref="L211:L212"/>
    <mergeCell ref="A213:B213"/>
    <mergeCell ref="A214:B216"/>
    <mergeCell ref="G211:G212"/>
    <mergeCell ref="H211:H212"/>
    <mergeCell ref="I211:I212"/>
    <mergeCell ref="J211:J212"/>
    <mergeCell ref="C211:C212"/>
    <mergeCell ref="D211:D212"/>
    <mergeCell ref="E211:E212"/>
    <mergeCell ref="F211:F212"/>
    <mergeCell ref="A217:B219"/>
    <mergeCell ref="A220:B222"/>
    <mergeCell ref="A223:B225"/>
    <mergeCell ref="A226:B228"/>
    <mergeCell ref="A229:C229"/>
    <mergeCell ref="A232:B232"/>
    <mergeCell ref="A233:B233"/>
    <mergeCell ref="A234:B234"/>
    <mergeCell ref="A235:B235"/>
    <mergeCell ref="A237:E237"/>
    <mergeCell ref="A238:B238"/>
    <mergeCell ref="A239:B239"/>
    <mergeCell ref="A240:B240"/>
    <mergeCell ref="A241:B241"/>
    <mergeCell ref="A242:B242"/>
    <mergeCell ref="A243:B243"/>
    <mergeCell ref="A244:B244"/>
    <mergeCell ref="A245:C245"/>
    <mergeCell ref="A246:B246"/>
    <mergeCell ref="A247:B247"/>
    <mergeCell ref="A250:B250"/>
    <mergeCell ref="A251:B251"/>
    <mergeCell ref="A252:B252"/>
    <mergeCell ref="A253:B253"/>
    <mergeCell ref="A264:C264"/>
    <mergeCell ref="A265:B265"/>
    <mergeCell ref="A266:B266"/>
    <mergeCell ref="A254:C254"/>
    <mergeCell ref="A255:B257"/>
    <mergeCell ref="A258:B260"/>
    <mergeCell ref="A261:B263"/>
    <mergeCell ref="F283:I283"/>
    <mergeCell ref="F312:I312"/>
    <mergeCell ref="A268:B268"/>
    <mergeCell ref="A269:B269"/>
    <mergeCell ref="A270:B270"/>
    <mergeCell ref="A271:B271"/>
  </mergeCells>
  <phoneticPr fontId="1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Start</vt:lpstr>
      <vt:lpstr>Hinweise</vt:lpstr>
      <vt:lpstr>Substrat</vt:lpstr>
      <vt:lpstr>Kalkulation</vt:lpstr>
      <vt:lpstr>Ausgangswerte</vt:lpstr>
      <vt:lpstr>Hinweise!Druckbereich</vt:lpstr>
      <vt:lpstr>Kalkulation!Druckbereich</vt:lpstr>
      <vt:lpstr>Start!Druckbereich</vt:lpstr>
      <vt:lpstr>Substrat!Druckbereich</vt:lpstr>
    </vt:vector>
  </TitlesOfParts>
  <Company>TLL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 Reinhold Dr., Gerd</dc:creator>
  <cp:lastModifiedBy>TLL Weidemann, Torsten</cp:lastModifiedBy>
  <cp:lastPrinted>2007-11-09T08:55:36Z</cp:lastPrinted>
  <dcterms:created xsi:type="dcterms:W3CDTF">2005-02-11T12:30:52Z</dcterms:created>
  <dcterms:modified xsi:type="dcterms:W3CDTF">2019-02-14T07:00:11Z</dcterms:modified>
</cp:coreProperties>
</file>